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D.O.S.U_Projetos\Projeto_Calçamento\Calçamento São João Batista\FISCALIZAÇÃO\ADITIVO\"/>
    </mc:Choice>
  </mc:AlternateContent>
  <xr:revisionPtr revIDLastSave="0" documentId="13_ncr:1_{4A926B05-7FB6-4E4F-AFBD-8534B4481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definedNames>
    <definedName name="_xlnm.Print_Area" localSheetId="1">CRONOGRAMA!$A$1:$Q$19</definedName>
    <definedName name="_xlnm.Print_Area" localSheetId="0">ORÇAMENTO!$A$1:$Y$42</definedName>
    <definedName name="_xlnm.Print_Titles" localSheetId="1">CRONOGRAMA!$A:$E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" l="1"/>
  <c r="V39" i="1"/>
  <c r="U39" i="1"/>
  <c r="W6" i="1"/>
  <c r="Q37" i="1"/>
  <c r="Q10" i="1"/>
  <c r="Q9" i="1"/>
  <c r="Q8" i="1"/>
  <c r="Q7" i="1"/>
  <c r="Q6" i="1"/>
  <c r="W42" i="1" l="1"/>
  <c r="W10" i="1"/>
  <c r="W9" i="1"/>
  <c r="W8" i="1"/>
  <c r="W7" i="1"/>
  <c r="G6" i="1"/>
  <c r="G10" i="1"/>
  <c r="G9" i="1"/>
  <c r="G8" i="1"/>
  <c r="G7" i="1"/>
  <c r="V42" i="1"/>
  <c r="V10" i="1" l="1"/>
  <c r="V9" i="1"/>
  <c r="V8" i="1"/>
  <c r="V7" i="1"/>
  <c r="V6" i="1"/>
  <c r="U10" i="1"/>
  <c r="U9" i="1"/>
  <c r="U8" i="1"/>
  <c r="U7" i="1"/>
  <c r="U6" i="1"/>
  <c r="S6" i="1"/>
  <c r="S7" i="1" l="1"/>
  <c r="S8" i="1"/>
  <c r="S9" i="1"/>
  <c r="S10" i="1"/>
  <c r="D8" i="1"/>
  <c r="Z8" i="1" s="1"/>
  <c r="D7" i="1"/>
  <c r="AD7" i="1"/>
  <c r="F9" i="1"/>
  <c r="F8" i="1"/>
  <c r="F6" i="1" s="1"/>
  <c r="F7" i="1"/>
  <c r="F10" i="1"/>
  <c r="AD18" i="1"/>
  <c r="AD17" i="1"/>
  <c r="AD16" i="1"/>
  <c r="AD15" i="1"/>
  <c r="AE34" i="1"/>
  <c r="AE33" i="1"/>
  <c r="AE32" i="1"/>
  <c r="AE30" i="1"/>
  <c r="AE35" i="1" s="1"/>
  <c r="AB10" i="1"/>
  <c r="W24" i="1"/>
  <c r="W23" i="1"/>
  <c r="AE42" i="1"/>
  <c r="AC18" i="1"/>
  <c r="AC17" i="1"/>
  <c r="AC15" i="1"/>
  <c r="AC14" i="1"/>
  <c r="AC16" i="1"/>
  <c r="AD14" i="1"/>
  <c r="AC42" i="1"/>
  <c r="AC26" i="1"/>
  <c r="AC25" i="1"/>
  <c r="AC24" i="1"/>
  <c r="AC23" i="1"/>
  <c r="AC22" i="1"/>
  <c r="AC10" i="1"/>
  <c r="AC9" i="1"/>
  <c r="AC8" i="1"/>
  <c r="AC7" i="1"/>
  <c r="AC6" i="1"/>
  <c r="Q17" i="1"/>
  <c r="AC34" i="1"/>
  <c r="AC33" i="1"/>
  <c r="AC30" i="1"/>
  <c r="AC31" i="1"/>
  <c r="AD42" i="1"/>
  <c r="AD33" i="1"/>
  <c r="AD34" i="1"/>
  <c r="Q31" i="1"/>
  <c r="AD10" i="1"/>
  <c r="AD26" i="1"/>
  <c r="AD25" i="1"/>
  <c r="AD24" i="1"/>
  <c r="AD23" i="1"/>
  <c r="AD22" i="1"/>
  <c r="AD9" i="1"/>
  <c r="AD8" i="1"/>
  <c r="AD6" i="1"/>
  <c r="AB42" i="1"/>
  <c r="AB34" i="1"/>
  <c r="AB33" i="1"/>
  <c r="AB32" i="1"/>
  <c r="AB31" i="1"/>
  <c r="AB30" i="1"/>
  <c r="AB26" i="1"/>
  <c r="AB25" i="1"/>
  <c r="AB24" i="1"/>
  <c r="AB23" i="1"/>
  <c r="AB22" i="1"/>
  <c r="AB18" i="1"/>
  <c r="AB17" i="1"/>
  <c r="AB16" i="1"/>
  <c r="AB15" i="1"/>
  <c r="AB14" i="1"/>
  <c r="AE26" i="1"/>
  <c r="AE25" i="1"/>
  <c r="AE24" i="1"/>
  <c r="AE23" i="1"/>
  <c r="AE22" i="1"/>
  <c r="AE18" i="1"/>
  <c r="AE17" i="1"/>
  <c r="AE16" i="1"/>
  <c r="AE15" i="1"/>
  <c r="AE14" i="1"/>
  <c r="AE10" i="1"/>
  <c r="AE9" i="1"/>
  <c r="AE8" i="1"/>
  <c r="AE7" i="1"/>
  <c r="Q33" i="1"/>
  <c r="AA10" i="1"/>
  <c r="AA17" i="1"/>
  <c r="AA34" i="1"/>
  <c r="AA33" i="1"/>
  <c r="AA32" i="1"/>
  <c r="AA31" i="1"/>
  <c r="AA30" i="1"/>
  <c r="AA26" i="1"/>
  <c r="AA25" i="1"/>
  <c r="AA24" i="1"/>
  <c r="AA23" i="1"/>
  <c r="AA22" i="1"/>
  <c r="AA9" i="1"/>
  <c r="AA8" i="1"/>
  <c r="AA6" i="1"/>
  <c r="Z15" i="1"/>
  <c r="Z16" i="1"/>
  <c r="Z6" i="1"/>
  <c r="Z42" i="1"/>
  <c r="Z34" i="1"/>
  <c r="Z33" i="1"/>
  <c r="Z32" i="1"/>
  <c r="Z31" i="1"/>
  <c r="Z30" i="1"/>
  <c r="Z26" i="1"/>
  <c r="Z25" i="1"/>
  <c r="Z24" i="1"/>
  <c r="Z23" i="1"/>
  <c r="Z22" i="1"/>
  <c r="Z17" i="1"/>
  <c r="Z10" i="1"/>
  <c r="Z9" i="1"/>
  <c r="Y42" i="1"/>
  <c r="AE31" i="1"/>
  <c r="X42" i="1"/>
  <c r="Z7" i="1" l="1"/>
  <c r="Z11" i="1" s="1"/>
  <c r="AB7" i="1"/>
  <c r="AA7" i="1"/>
  <c r="AC11" i="1"/>
  <c r="AC27" i="1"/>
  <c r="AC32" i="1"/>
  <c r="AC35" i="1" s="1"/>
  <c r="AD19" i="1"/>
  <c r="AD27" i="1"/>
  <c r="Q34" i="1"/>
  <c r="Q32" i="1"/>
  <c r="AD31" i="1"/>
  <c r="Q30" i="1"/>
  <c r="AD30" i="1"/>
  <c r="AD32" i="1"/>
  <c r="AD11" i="1"/>
  <c r="AB35" i="1"/>
  <c r="AA27" i="1"/>
  <c r="AB9" i="1"/>
  <c r="AB27" i="1"/>
  <c r="Z14" i="1"/>
  <c r="AA14" i="1"/>
  <c r="AB19" i="1"/>
  <c r="AB8" i="1"/>
  <c r="AA35" i="1"/>
  <c r="AA11" i="1"/>
  <c r="AE27" i="1"/>
  <c r="Z27" i="1"/>
  <c r="Z35" i="1"/>
  <c r="AE19" i="1"/>
  <c r="AE6" i="1"/>
  <c r="AE11" i="1" s="1"/>
  <c r="U42" i="1"/>
  <c r="Y34" i="1"/>
  <c r="Y33" i="1"/>
  <c r="Y32" i="1"/>
  <c r="Y31" i="1"/>
  <c r="Y30" i="1"/>
  <c r="Y26" i="1"/>
  <c r="Y25" i="1"/>
  <c r="Y24" i="1"/>
  <c r="Y23" i="1"/>
  <c r="Y22" i="1"/>
  <c r="Y18" i="1"/>
  <c r="Y17" i="1"/>
  <c r="Y16" i="1"/>
  <c r="Y15" i="1"/>
  <c r="Y14" i="1"/>
  <c r="Y10" i="1"/>
  <c r="Y9" i="1"/>
  <c r="Y8" i="1"/>
  <c r="Y7" i="1"/>
  <c r="Y6" i="1"/>
  <c r="X34" i="1"/>
  <c r="X33" i="1"/>
  <c r="X32" i="1"/>
  <c r="X31" i="1"/>
  <c r="X30" i="1"/>
  <c r="X26" i="1"/>
  <c r="X25" i="1"/>
  <c r="X24" i="1"/>
  <c r="X23" i="1"/>
  <c r="X22" i="1"/>
  <c r="X18" i="1"/>
  <c r="X17" i="1"/>
  <c r="X16" i="1"/>
  <c r="X15" i="1"/>
  <c r="X14" i="1"/>
  <c r="X10" i="1"/>
  <c r="X9" i="1"/>
  <c r="X7" i="1"/>
  <c r="W34" i="1"/>
  <c r="W33" i="1"/>
  <c r="W32" i="1"/>
  <c r="W31" i="1"/>
  <c r="W30" i="1"/>
  <c r="AF10" i="1"/>
  <c r="AF9" i="1"/>
  <c r="AF8" i="1"/>
  <c r="AF7" i="1"/>
  <c r="AF6" i="1"/>
  <c r="W18" i="1"/>
  <c r="W17" i="1"/>
  <c r="W16" i="1"/>
  <c r="W15" i="1"/>
  <c r="W14" i="1"/>
  <c r="V34" i="1"/>
  <c r="V33" i="1"/>
  <c r="V32" i="1"/>
  <c r="V31" i="1"/>
  <c r="V30" i="1"/>
  <c r="V26" i="1"/>
  <c r="V25" i="1"/>
  <c r="V24" i="1"/>
  <c r="V23" i="1"/>
  <c r="V22" i="1"/>
  <c r="V18" i="1"/>
  <c r="V17" i="1"/>
  <c r="V16" i="1"/>
  <c r="V15" i="1"/>
  <c r="V14" i="1"/>
  <c r="U34" i="1"/>
  <c r="U33" i="1"/>
  <c r="U32" i="1"/>
  <c r="U31" i="1"/>
  <c r="U30" i="1"/>
  <c r="U18" i="1"/>
  <c r="U17" i="1"/>
  <c r="U16" i="1"/>
  <c r="U15" i="1"/>
  <c r="U14" i="1"/>
  <c r="AD35" i="1" l="1"/>
  <c r="Q14" i="1"/>
  <c r="AB6" i="1"/>
  <c r="AB11" i="1" s="1"/>
  <c r="AB38" i="1" s="1"/>
  <c r="Z18" i="1"/>
  <c r="Z19" i="1" s="1"/>
  <c r="Z38" i="1" s="1"/>
  <c r="Q16" i="1"/>
  <c r="AA16" i="1"/>
  <c r="Q15" i="1"/>
  <c r="AA15" i="1"/>
  <c r="AE38" i="1"/>
  <c r="X35" i="1"/>
  <c r="X19" i="1"/>
  <c r="X27" i="1"/>
  <c r="W35" i="1"/>
  <c r="W19" i="1"/>
  <c r="X6" i="1"/>
  <c r="W11" i="1"/>
  <c r="X8" i="1"/>
  <c r="V35" i="1"/>
  <c r="V19" i="1"/>
  <c r="V11" i="1"/>
  <c r="U19" i="1"/>
  <c r="U11" i="1"/>
  <c r="U35" i="1"/>
  <c r="S16" i="1"/>
  <c r="S30" i="1"/>
  <c r="S32" i="1"/>
  <c r="S33" i="1"/>
  <c r="S34" i="1"/>
  <c r="AF11" i="1" l="1"/>
  <c r="AC19" i="1"/>
  <c r="AC38" i="1" s="1"/>
  <c r="AD38" i="1"/>
  <c r="AA18" i="1"/>
  <c r="Q18" i="1"/>
  <c r="X11" i="1"/>
  <c r="S18" i="1"/>
  <c r="AA19" i="1" l="1"/>
  <c r="AA38" i="1" s="1"/>
  <c r="X38" i="1"/>
  <c r="S31" i="1"/>
  <c r="S17" i="1"/>
  <c r="S15" i="1"/>
  <c r="S14" i="1"/>
  <c r="S23" i="1"/>
  <c r="S22" i="1"/>
  <c r="E25" i="1"/>
  <c r="W25" i="1" l="1"/>
  <c r="W22" i="1"/>
  <c r="W26" i="1"/>
  <c r="U22" i="1"/>
  <c r="V27" i="1"/>
  <c r="V38" i="1" s="1"/>
  <c r="U25" i="1"/>
  <c r="U23" i="1"/>
  <c r="U26" i="1"/>
  <c r="S35" i="1"/>
  <c r="S11" i="1"/>
  <c r="Y11" i="1"/>
  <c r="Y19" i="1"/>
  <c r="S19" i="1"/>
  <c r="E6" i="2"/>
  <c r="Q6" i="2" s="1"/>
  <c r="A2" i="2"/>
  <c r="E19" i="2"/>
  <c r="R10" i="2"/>
  <c r="S10" i="2" s="1"/>
  <c r="C6" i="2"/>
  <c r="D5" i="2"/>
  <c r="D6" i="2"/>
  <c r="D7" i="2"/>
  <c r="D8" i="2"/>
  <c r="D9" i="2"/>
  <c r="A5" i="2"/>
  <c r="B5" i="2"/>
  <c r="A6" i="2"/>
  <c r="B6" i="2"/>
  <c r="A7" i="2"/>
  <c r="B7" i="2"/>
  <c r="A8" i="2"/>
  <c r="B8" i="2"/>
  <c r="A9" i="2"/>
  <c r="B9" i="2"/>
  <c r="A4" i="2"/>
  <c r="R11" i="2"/>
  <c r="S11" i="2" s="1"/>
  <c r="S25" i="1"/>
  <c r="E8" i="2" s="1"/>
  <c r="Q8" i="2" s="1"/>
  <c r="Q19" i="1" l="1"/>
  <c r="Q26" i="1"/>
  <c r="Q23" i="1"/>
  <c r="Q22" i="1"/>
  <c r="Q25" i="1"/>
  <c r="U24" i="1"/>
  <c r="U27" i="1" s="1"/>
  <c r="U38" i="1" s="1"/>
  <c r="Y35" i="1"/>
  <c r="O6" i="2"/>
  <c r="C8" i="2"/>
  <c r="H6" i="2"/>
  <c r="P6" i="2"/>
  <c r="I6" i="2"/>
  <c r="J6" i="2"/>
  <c r="F6" i="2"/>
  <c r="K6" i="2"/>
  <c r="L6" i="2"/>
  <c r="M6" i="2"/>
  <c r="N6" i="2"/>
  <c r="G6" i="2"/>
  <c r="C5" i="2"/>
  <c r="Q35" i="1" l="1"/>
  <c r="I8" i="2"/>
  <c r="P8" i="2"/>
  <c r="H8" i="2"/>
  <c r="O8" i="2"/>
  <c r="G8" i="2"/>
  <c r="F8" i="2"/>
  <c r="N8" i="2"/>
  <c r="J8" i="2"/>
  <c r="M8" i="2"/>
  <c r="L8" i="2"/>
  <c r="K8" i="2"/>
  <c r="R6" i="2"/>
  <c r="S6" i="2" s="1"/>
  <c r="E24" i="1"/>
  <c r="W27" i="1" l="1"/>
  <c r="Q24" i="1"/>
  <c r="S24" i="1"/>
  <c r="E5" i="2"/>
  <c r="Q5" i="2" s="1"/>
  <c r="S26" i="1"/>
  <c r="E9" i="2" s="1"/>
  <c r="Q9" i="2" s="1"/>
  <c r="C9" i="2"/>
  <c r="E7" i="2"/>
  <c r="Q7" i="2" s="1"/>
  <c r="C7" i="2"/>
  <c r="R8" i="2"/>
  <c r="S8" i="2" s="1"/>
  <c r="W38" i="1" l="1"/>
  <c r="Y27" i="1"/>
  <c r="S27" i="1"/>
  <c r="E12" i="2"/>
  <c r="Q12" i="2"/>
  <c r="O7" i="2"/>
  <c r="L7" i="2"/>
  <c r="G7" i="2"/>
  <c r="H7" i="2"/>
  <c r="K7" i="2"/>
  <c r="M7" i="2"/>
  <c r="J7" i="2"/>
  <c r="N7" i="2"/>
  <c r="F7" i="2"/>
  <c r="I7" i="2"/>
  <c r="P7" i="2"/>
  <c r="M9" i="2"/>
  <c r="J9" i="2"/>
  <c r="N9" i="2"/>
  <c r="H9" i="2"/>
  <c r="K9" i="2"/>
  <c r="G9" i="2"/>
  <c r="O9" i="2"/>
  <c r="F9" i="2"/>
  <c r="L9" i="2"/>
  <c r="I9" i="2"/>
  <c r="P9" i="2"/>
  <c r="O5" i="2"/>
  <c r="G5" i="2"/>
  <c r="N5" i="2"/>
  <c r="M5" i="2"/>
  <c r="I5" i="2"/>
  <c r="K5" i="2"/>
  <c r="H5" i="2"/>
  <c r="J5" i="2"/>
  <c r="F5" i="2"/>
  <c r="P5" i="2"/>
  <c r="L5" i="2"/>
  <c r="AF38" i="1" l="1"/>
  <c r="Q27" i="1"/>
  <c r="Y38" i="1"/>
  <c r="Q13" i="2"/>
  <c r="M12" i="2"/>
  <c r="M13" i="2" s="1"/>
  <c r="N12" i="2"/>
  <c r="N13" i="2" s="1"/>
  <c r="G12" i="2"/>
  <c r="G13" i="2" s="1"/>
  <c r="J12" i="2"/>
  <c r="J13" i="2" s="1"/>
  <c r="P12" i="2"/>
  <c r="P13" i="2" s="1"/>
  <c r="O12" i="2"/>
  <c r="O13" i="2" s="1"/>
  <c r="L12" i="2"/>
  <c r="L13" i="2" s="1"/>
  <c r="F12" i="2"/>
  <c r="H12" i="2"/>
  <c r="H13" i="2" s="1"/>
  <c r="K12" i="2"/>
  <c r="K13" i="2" s="1"/>
  <c r="I12" i="2"/>
  <c r="I13" i="2" s="1"/>
  <c r="R9" i="2"/>
  <c r="S9" i="2" s="1"/>
  <c r="R7" i="2"/>
  <c r="S7" i="2" s="1"/>
  <c r="R5" i="2"/>
  <c r="S5" i="2" s="1"/>
  <c r="F14" i="2" l="1"/>
  <c r="F13" i="2"/>
  <c r="R12" i="2"/>
  <c r="S12" i="2" s="1"/>
  <c r="F15" i="2" l="1"/>
  <c r="G14" i="2"/>
  <c r="G15" i="2" l="1"/>
  <c r="H14" i="2"/>
  <c r="I14" i="2" l="1"/>
  <c r="H15" i="2"/>
  <c r="J14" i="2" l="1"/>
  <c r="I15" i="2"/>
  <c r="K14" i="2" l="1"/>
  <c r="J15" i="2"/>
  <c r="L14" i="2" l="1"/>
  <c r="K15" i="2"/>
  <c r="L15" i="2" l="1"/>
  <c r="M14" i="2"/>
  <c r="N14" i="2" l="1"/>
  <c r="M15" i="2"/>
  <c r="O14" i="2" l="1"/>
  <c r="N15" i="2"/>
  <c r="O15" i="2" l="1"/>
  <c r="P14" i="2"/>
  <c r="P15" i="2" l="1"/>
  <c r="Q14" i="2"/>
  <c r="Q15" i="2" s="1"/>
</calcChain>
</file>

<file path=xl/sharedStrings.xml><?xml version="1.0" encoding="utf-8"?>
<sst xmlns="http://schemas.openxmlformats.org/spreadsheetml/2006/main" count="108" uniqueCount="73">
  <si>
    <t>Código DER PR</t>
  </si>
  <si>
    <t>Itens</t>
  </si>
  <si>
    <t>Unid.</t>
  </si>
  <si>
    <t>Custo Transp. (R$)</t>
  </si>
  <si>
    <t>BDI %</t>
  </si>
  <si>
    <t>m²</t>
  </si>
  <si>
    <t xml:space="preserve">Extração, carga,transp.e assent. Cordão cont. lateral  </t>
  </si>
  <si>
    <t>m</t>
  </si>
  <si>
    <t>Extração, carga,transp.preparo e assent. Poliédrico</t>
  </si>
  <si>
    <t>Contenção Lat. Com solo local (minimo 1,0 m de cada lado)</t>
  </si>
  <si>
    <t>TOTAL</t>
  </si>
  <si>
    <t>DIOGO ROSSETTO - Engenheiro Civil - CREA-PR 109070/D</t>
  </si>
  <si>
    <t>Serviço</t>
  </si>
  <si>
    <t>1º mês</t>
  </si>
  <si>
    <t>2º mês</t>
  </si>
  <si>
    <t>3ºmês</t>
  </si>
  <si>
    <t>4º mês</t>
  </si>
  <si>
    <t>5ºmês</t>
  </si>
  <si>
    <t>6ºmês</t>
  </si>
  <si>
    <t>7º mês</t>
  </si>
  <si>
    <t>8ºmês</t>
  </si>
  <si>
    <t>soma</t>
  </si>
  <si>
    <t>TOTAL MENSAL</t>
  </si>
  <si>
    <t>VALORES ACUMULADOS</t>
  </si>
  <si>
    <t>9ºmês</t>
  </si>
  <si>
    <t>10º mês</t>
  </si>
  <si>
    <t>11ºmês</t>
  </si>
  <si>
    <t>12º mês</t>
  </si>
  <si>
    <t>AJUSTAR diferença</t>
  </si>
  <si>
    <t>Total R$</t>
  </si>
  <si>
    <t>Quant.</t>
  </si>
  <si>
    <t>% EXECUTADO MENSAL</t>
  </si>
  <si>
    <t>% EXECUTADO ACUMULADO</t>
  </si>
  <si>
    <t xml:space="preserve">   PREFEITURA MUNICIPAL DE BOM SUCESSO DO SUL                                                                                                                                                                          CRONOGRAMA FÍSICOFINANCEIRO</t>
  </si>
  <si>
    <t>Colchão de argila p/paviment. Poliédrica (somente mão de obra)</t>
  </si>
  <si>
    <t>Enchimento com argila (somente mão de obra)</t>
  </si>
  <si>
    <t>Valor unitário Licitado (R$)</t>
  </si>
  <si>
    <t>Valor Total Licitado (R$)</t>
  </si>
  <si>
    <t>LOTE 03 - TRECHO LATICÍNIO</t>
  </si>
  <si>
    <t>EXECUTADO DO LOTE 02</t>
  </si>
  <si>
    <t>LOTE 02 - TRECHO CERRO AZUL</t>
  </si>
  <si>
    <t>EXECUTADO DO LOTE 03</t>
  </si>
  <si>
    <t>LOTE 05 - TRECHO SANTO EXPEDITO</t>
  </si>
  <si>
    <t>EXECUTADO DO LOTE 05</t>
  </si>
  <si>
    <t>Quantidade 1º Medição</t>
  </si>
  <si>
    <t>Quantidade 2º Medição</t>
  </si>
  <si>
    <t>Total da 1º Medição (R$)</t>
  </si>
  <si>
    <t>Total da 2º Medição (R$)</t>
  </si>
  <si>
    <t>Quantidade 4º Medição</t>
  </si>
  <si>
    <t>Total da 4º Medição (R$)</t>
  </si>
  <si>
    <t>Total da 5º Medição (R$)</t>
  </si>
  <si>
    <t>Quantidade 5º Medição</t>
  </si>
  <si>
    <t>Total da 6º Medição (R$)</t>
  </si>
  <si>
    <t>Quantidade 6º Medição</t>
  </si>
  <si>
    <t>Quantidade 7º Medição</t>
  </si>
  <si>
    <t>Total da 7º Medição (R$)</t>
  </si>
  <si>
    <t>Quantidade 8º Medição</t>
  </si>
  <si>
    <t>Total da 8º Medição (R$)</t>
  </si>
  <si>
    <t>Quantidade 9º Medição</t>
  </si>
  <si>
    <t>Total da 9º Medição (R$)</t>
  </si>
  <si>
    <t>Total da 10º Medição (R$)</t>
  </si>
  <si>
    <t>Quantidade 10º Medição</t>
  </si>
  <si>
    <t>Quantidade 11º Medição</t>
  </si>
  <si>
    <t>Total da 11º Medição (R$)</t>
  </si>
  <si>
    <t xml:space="preserve">               OBRA: PAVIMENTAÇÃO POLIÉDRICAS EM PEDRAS IRREGULARES COMUNIDADE SÃO JOÃO BATISTA</t>
  </si>
  <si>
    <t>Responsavel Tecnico da Empresa:  EDUARDO BERNADI ALVES - Engenheiro Civil - CREA Nº 170969/D</t>
  </si>
  <si>
    <t>Quantidade Contratada</t>
  </si>
  <si>
    <t>Quantidade Aditivo</t>
  </si>
  <si>
    <t>% Aditivo</t>
  </si>
  <si>
    <t>Valor do aditivo (R$)</t>
  </si>
  <si>
    <t>1º ADITIVO CONTRATUAL</t>
  </si>
  <si>
    <t>% ACRÉSCIMO</t>
  </si>
  <si>
    <t>TOTAL DO TRECHO - COM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</si>
</sst>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#,##0.00;\-&quot;R$&quot;#,##0.00"/>
    <numFmt numFmtId="165" formatCode="_-&quot;R$&quot;* #,##0.00_-;\-&quot;R$&quot;* #,##0.00_-;_-&quot;R$&quot;* &quot;-&quot;??_-;_-@_-"/>
    <numFmt numFmtId="166" formatCode="&quot;R$&quot;#,##0.00"/>
    <numFmt numFmtId="167" formatCode="mmmm\,\ yyyy;@"/>
    <numFmt numFmtId="168" formatCode="0.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rgb="FFE2EFD9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2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14" xfId="0" applyBorder="1"/>
    <xf numFmtId="167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43" fontId="10" fillId="0" borderId="0" xfId="0" applyNumberFormat="1" applyFont="1"/>
    <xf numFmtId="43" fontId="7" fillId="0" borderId="0" xfId="0" applyNumberFormat="1" applyFont="1"/>
    <xf numFmtId="43" fontId="9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4" borderId="17" xfId="0" applyFont="1" applyFill="1" applyBorder="1" applyAlignment="1">
      <alignment horizontal="center"/>
    </xf>
    <xf numFmtId="0" fontId="7" fillId="4" borderId="17" xfId="0" applyFont="1" applyFill="1" applyBorder="1"/>
    <xf numFmtId="0" fontId="7" fillId="4" borderId="16" xfId="0" applyFont="1" applyFill="1" applyBorder="1" applyAlignment="1">
      <alignment horizontal="center"/>
    </xf>
    <xf numFmtId="0" fontId="7" fillId="4" borderId="16" xfId="0" applyFont="1" applyFill="1" applyBorder="1"/>
    <xf numFmtId="43" fontId="9" fillId="4" borderId="16" xfId="1" applyFont="1" applyFill="1" applyBorder="1"/>
    <xf numFmtId="0" fontId="9" fillId="4" borderId="16" xfId="0" applyFont="1" applyFill="1" applyBorder="1" applyAlignment="1">
      <alignment horizontal="center"/>
    </xf>
    <xf numFmtId="43" fontId="7" fillId="4" borderId="16" xfId="1" applyFont="1" applyFill="1" applyBorder="1"/>
    <xf numFmtId="43" fontId="9" fillId="6" borderId="17" xfId="0" applyNumberFormat="1" applyFont="1" applyFill="1" applyBorder="1"/>
    <xf numFmtId="0" fontId="9" fillId="6" borderId="17" xfId="0" applyFont="1" applyFill="1" applyBorder="1"/>
    <xf numFmtId="43" fontId="9" fillId="6" borderId="16" xfId="1" applyFont="1" applyFill="1" applyBorder="1"/>
    <xf numFmtId="164" fontId="7" fillId="4" borderId="17" xfId="1" applyNumberFormat="1" applyFont="1" applyFill="1" applyBorder="1"/>
    <xf numFmtId="0" fontId="7" fillId="4" borderId="17" xfId="0" applyFont="1" applyFill="1" applyBorder="1" applyAlignment="1">
      <alignment horizontal="center" vertical="center"/>
    </xf>
    <xf numFmtId="2" fontId="7" fillId="4" borderId="17" xfId="0" applyNumberFormat="1" applyFont="1" applyFill="1" applyBorder="1"/>
    <xf numFmtId="0" fontId="0" fillId="0" borderId="0" xfId="0" applyAlignment="1">
      <alignment horizontal="center" wrapText="1"/>
    </xf>
    <xf numFmtId="0" fontId="7" fillId="6" borderId="17" xfId="0" applyFont="1" applyFill="1" applyBorder="1"/>
    <xf numFmtId="0" fontId="8" fillId="6" borderId="17" xfId="0" applyFont="1" applyFill="1" applyBorder="1"/>
    <xf numFmtId="43" fontId="10" fillId="6" borderId="17" xfId="0" applyNumberFormat="1" applyFont="1" applyFill="1" applyBorder="1"/>
    <xf numFmtId="0" fontId="7" fillId="6" borderId="16" xfId="0" applyFont="1" applyFill="1" applyBorder="1"/>
    <xf numFmtId="0" fontId="8" fillId="6" borderId="16" xfId="0" applyFont="1" applyFill="1" applyBorder="1"/>
    <xf numFmtId="0" fontId="9" fillId="6" borderId="16" xfId="0" applyFont="1" applyFill="1" applyBorder="1"/>
    <xf numFmtId="10" fontId="9" fillId="6" borderId="16" xfId="2" applyNumberFormat="1" applyFont="1" applyFill="1" applyBorder="1"/>
    <xf numFmtId="0" fontId="7" fillId="7" borderId="17" xfId="0" applyFont="1" applyFill="1" applyBorder="1"/>
    <xf numFmtId="0" fontId="7" fillId="7" borderId="15" xfId="0" applyFont="1" applyFill="1" applyBorder="1"/>
    <xf numFmtId="0" fontId="9" fillId="7" borderId="17" xfId="0" applyFont="1" applyFill="1" applyBorder="1"/>
    <xf numFmtId="43" fontId="9" fillId="7" borderId="17" xfId="1" applyFont="1" applyFill="1" applyBorder="1"/>
    <xf numFmtId="0" fontId="7" fillId="4" borderId="18" xfId="0" applyFont="1" applyFill="1" applyBorder="1"/>
    <xf numFmtId="0" fontId="8" fillId="4" borderId="18" xfId="0" applyFont="1" applyFill="1" applyBorder="1"/>
    <xf numFmtId="0" fontId="9" fillId="4" borderId="18" xfId="0" applyFont="1" applyFill="1" applyBorder="1"/>
    <xf numFmtId="43" fontId="10" fillId="4" borderId="18" xfId="0" applyNumberFormat="1" applyFont="1" applyFill="1" applyBorder="1"/>
    <xf numFmtId="0" fontId="7" fillId="4" borderId="19" xfId="0" applyFont="1" applyFill="1" applyBorder="1"/>
    <xf numFmtId="0" fontId="8" fillId="4" borderId="19" xfId="0" applyFont="1" applyFill="1" applyBorder="1"/>
    <xf numFmtId="0" fontId="9" fillId="4" borderId="19" xfId="0" applyFont="1" applyFill="1" applyBorder="1"/>
    <xf numFmtId="43" fontId="10" fillId="4" borderId="19" xfId="0" applyNumberFormat="1" applyFont="1" applyFill="1" applyBorder="1"/>
    <xf numFmtId="10" fontId="9" fillId="4" borderId="19" xfId="2" applyNumberFormat="1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10" fillId="4" borderId="18" xfId="1" applyFont="1" applyFill="1" applyBorder="1"/>
    <xf numFmtId="43" fontId="10" fillId="6" borderId="17" xfId="1" applyFont="1" applyFill="1" applyBorder="1"/>
    <xf numFmtId="164" fontId="7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166" fontId="3" fillId="2" borderId="22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166" fontId="11" fillId="2" borderId="26" xfId="0" applyNumberFormat="1" applyFont="1" applyFill="1" applyBorder="1" applyAlignment="1">
      <alignment horizontal="center" vertical="center" wrapText="1"/>
    </xf>
    <xf numFmtId="4" fontId="11" fillId="2" borderId="26" xfId="0" applyNumberFormat="1" applyFont="1" applyFill="1" applyBorder="1" applyAlignment="1">
      <alignment horizontal="center" vertical="center" wrapText="1"/>
    </xf>
    <xf numFmtId="10" fontId="11" fillId="2" borderId="26" xfId="2" applyNumberFormat="1" applyFont="1" applyFill="1" applyBorder="1" applyAlignment="1">
      <alignment horizontal="center" vertical="center" wrapText="1"/>
    </xf>
    <xf numFmtId="10" fontId="11" fillId="2" borderId="26" xfId="0" applyNumberFormat="1" applyFont="1" applyFill="1" applyBorder="1" applyAlignment="1">
      <alignment horizontal="center" vertical="center" wrapText="1"/>
    </xf>
    <xf numFmtId="166" fontId="11" fillId="2" borderId="27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right" vertical="center"/>
      <protection locked="0"/>
    </xf>
    <xf numFmtId="4" fontId="12" fillId="3" borderId="1" xfId="0" applyNumberFormat="1" applyFont="1" applyFill="1" applyBorder="1" applyAlignment="1" applyProtection="1">
      <alignment horizontal="right" vertical="center"/>
      <protection locked="0"/>
    </xf>
    <xf numFmtId="10" fontId="12" fillId="3" borderId="1" xfId="2" applyNumberFormat="1" applyFont="1" applyFill="1" applyBorder="1" applyAlignment="1" applyProtection="1">
      <alignment horizontal="right" vertical="center"/>
      <protection locked="0"/>
    </xf>
    <xf numFmtId="10" fontId="12" fillId="3" borderId="1" xfId="0" applyNumberFormat="1" applyFont="1" applyFill="1" applyBorder="1" applyAlignment="1" applyProtection="1">
      <alignment horizontal="right" vertical="center"/>
      <protection locked="0"/>
    </xf>
    <xf numFmtId="164" fontId="12" fillId="5" borderId="23" xfId="0" applyNumberFormat="1" applyFont="1" applyFill="1" applyBorder="1" applyAlignment="1">
      <alignment horizontal="right" vertical="center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right" vertical="center"/>
      <protection locked="0"/>
    </xf>
    <xf numFmtId="4" fontId="12" fillId="3" borderId="2" xfId="0" applyNumberFormat="1" applyFont="1" applyFill="1" applyBorder="1" applyAlignment="1" applyProtection="1">
      <alignment horizontal="right" vertical="center"/>
      <protection locked="0"/>
    </xf>
    <xf numFmtId="10" fontId="12" fillId="3" borderId="2" xfId="0" applyNumberFormat="1" applyFont="1" applyFill="1" applyBorder="1" applyAlignment="1" applyProtection="1">
      <alignment horizontal="right" vertical="center"/>
      <protection locked="0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166" fontId="11" fillId="2" borderId="29" xfId="0" applyNumberFormat="1" applyFont="1" applyFill="1" applyBorder="1" applyAlignment="1">
      <alignment horizontal="center" vertical="center" wrapText="1"/>
    </xf>
    <xf numFmtId="4" fontId="11" fillId="2" borderId="29" xfId="0" applyNumberFormat="1" applyFont="1" applyFill="1" applyBorder="1" applyAlignment="1">
      <alignment horizontal="center" vertical="center" wrapText="1"/>
    </xf>
    <xf numFmtId="10" fontId="11" fillId="2" borderId="29" xfId="2" applyNumberFormat="1" applyFont="1" applyFill="1" applyBorder="1" applyAlignment="1">
      <alignment horizontal="center" vertical="center" wrapText="1"/>
    </xf>
    <xf numFmtId="10" fontId="11" fillId="2" borderId="29" xfId="0" applyNumberFormat="1" applyFont="1" applyFill="1" applyBorder="1" applyAlignment="1">
      <alignment horizontal="center" vertical="center" wrapText="1"/>
    </xf>
    <xf numFmtId="166" fontId="11" fillId="2" borderId="30" xfId="0" applyNumberFormat="1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166" fontId="11" fillId="2" borderId="32" xfId="0" applyNumberFormat="1" applyFont="1" applyFill="1" applyBorder="1" applyAlignment="1">
      <alignment horizontal="center" vertical="center" wrapText="1"/>
    </xf>
    <xf numFmtId="4" fontId="11" fillId="2" borderId="32" xfId="0" applyNumberFormat="1" applyFont="1" applyFill="1" applyBorder="1" applyAlignment="1">
      <alignment horizontal="center" vertical="center" wrapText="1"/>
    </xf>
    <xf numFmtId="10" fontId="11" fillId="2" borderId="32" xfId="2" applyNumberFormat="1" applyFont="1" applyFill="1" applyBorder="1" applyAlignment="1">
      <alignment horizontal="center" vertical="center" wrapText="1"/>
    </xf>
    <xf numFmtId="166" fontId="11" fillId="2" borderId="33" xfId="0" applyNumberFormat="1" applyFont="1" applyFill="1" applyBorder="1" applyAlignment="1">
      <alignment horizontal="center" vertical="center" wrapText="1"/>
    </xf>
    <xf numFmtId="165" fontId="4" fillId="3" borderId="20" xfId="3" applyFont="1" applyFill="1" applyBorder="1" applyAlignment="1" applyProtection="1">
      <alignment horizontal="right" vertical="center"/>
      <protection locked="0"/>
    </xf>
    <xf numFmtId="10" fontId="15" fillId="8" borderId="11" xfId="0" applyNumberFormat="1" applyFont="1" applyFill="1" applyBorder="1" applyAlignment="1">
      <alignment horizontal="right" vertical="center"/>
    </xf>
    <xf numFmtId="14" fontId="0" fillId="0" borderId="0" xfId="0" applyNumberFormat="1"/>
    <xf numFmtId="0" fontId="11" fillId="2" borderId="34" xfId="0" applyFont="1" applyFill="1" applyBorder="1" applyAlignment="1">
      <alignment horizontal="center" vertical="center" wrapText="1"/>
    </xf>
    <xf numFmtId="166" fontId="11" fillId="2" borderId="34" xfId="0" applyNumberFormat="1" applyFont="1" applyFill="1" applyBorder="1" applyAlignment="1">
      <alignment horizontal="center" vertical="center" wrapText="1"/>
    </xf>
    <xf numFmtId="4" fontId="11" fillId="2" borderId="34" xfId="0" applyNumberFormat="1" applyFont="1" applyFill="1" applyBorder="1" applyAlignment="1">
      <alignment horizontal="center" vertical="center" wrapText="1"/>
    </xf>
    <xf numFmtId="10" fontId="11" fillId="2" borderId="34" xfId="2" applyNumberFormat="1" applyFont="1" applyFill="1" applyBorder="1" applyAlignment="1">
      <alignment horizontal="center" vertical="center" wrapText="1"/>
    </xf>
    <xf numFmtId="10" fontId="11" fillId="2" borderId="34" xfId="0" applyNumberFormat="1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166" fontId="11" fillId="2" borderId="36" xfId="0" applyNumberFormat="1" applyFont="1" applyFill="1" applyBorder="1" applyAlignment="1">
      <alignment horizontal="center" vertical="center" wrapText="1"/>
    </xf>
    <xf numFmtId="4" fontId="11" fillId="2" borderId="36" xfId="0" applyNumberFormat="1" applyFont="1" applyFill="1" applyBorder="1" applyAlignment="1">
      <alignment horizontal="center" vertical="center" wrapText="1"/>
    </xf>
    <xf numFmtId="4" fontId="15" fillId="2" borderId="37" xfId="0" applyNumberFormat="1" applyFont="1" applyFill="1" applyBorder="1" applyAlignment="1">
      <alignment horizontal="center" vertical="center" wrapText="1"/>
    </xf>
    <xf numFmtId="10" fontId="11" fillId="2" borderId="35" xfId="0" applyNumberFormat="1" applyFont="1" applyFill="1" applyBorder="1" applyAlignment="1">
      <alignment horizontal="center" vertical="center" wrapText="1"/>
    </xf>
    <xf numFmtId="166" fontId="11" fillId="2" borderId="38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6" fontId="3" fillId="2" borderId="39" xfId="0" applyNumberFormat="1" applyFont="1" applyFill="1" applyBorder="1" applyAlignment="1">
      <alignment horizontal="center" vertical="center" wrapText="1"/>
    </xf>
    <xf numFmtId="166" fontId="3" fillId="2" borderId="40" xfId="0" applyNumberFormat="1" applyFont="1" applyFill="1" applyBorder="1" applyAlignment="1">
      <alignment horizontal="center" vertical="center" wrapText="1"/>
    </xf>
    <xf numFmtId="166" fontId="11" fillId="2" borderId="39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168" fontId="0" fillId="0" borderId="0" xfId="0" applyNumberFormat="1"/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2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133350</xdr:colOff>
      <xdr:row>1</xdr:row>
      <xdr:rowOff>331002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AB3C87-8F87-4D60-A4EE-A6B506A6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1104900" cy="1150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28576</xdr:rowOff>
    </xdr:from>
    <xdr:to>
      <xdr:col>1</xdr:col>
      <xdr:colOff>180975</xdr:colOff>
      <xdr:row>1</xdr:row>
      <xdr:rowOff>400051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E471F2-26F4-4C06-BCF9-4A0083184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6"/>
          <a:ext cx="11049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4"/>
  <sheetViews>
    <sheetView tabSelected="1" workbookViewId="0">
      <selection activeCell="W42" sqref="A1:Y42"/>
    </sheetView>
  </sheetViews>
  <sheetFormatPr defaultRowHeight="15" x14ac:dyDescent="0.25"/>
  <cols>
    <col min="1" max="1" width="14.7109375" customWidth="1"/>
    <col min="2" max="2" width="61.7109375" customWidth="1"/>
    <col min="3" max="3" width="5.7109375" bestFit="1" customWidth="1"/>
    <col min="4" max="4" width="16.140625" customWidth="1"/>
    <col min="5" max="5" width="14.5703125" customWidth="1"/>
    <col min="6" max="7" width="17.85546875" hidden="1" customWidth="1"/>
    <col min="8" max="8" width="17.85546875" customWidth="1"/>
    <col min="9" max="9" width="15.140625" hidden="1" customWidth="1"/>
    <col min="10" max="16" width="17.85546875" hidden="1" customWidth="1"/>
    <col min="17" max="17" width="11.5703125" customWidth="1"/>
    <col min="18" max="18" width="17.5703125" bestFit="1" customWidth="1"/>
    <col min="19" max="19" width="18.140625" customWidth="1"/>
    <col min="20" max="20" width="10.140625" customWidth="1"/>
    <col min="21" max="22" width="20.140625" hidden="1" customWidth="1"/>
    <col min="23" max="23" width="20.140625" customWidth="1"/>
    <col min="24" max="32" width="20.140625" hidden="1" customWidth="1"/>
  </cols>
  <sheetData>
    <row r="1" spans="1:32" ht="66.75" customHeight="1" x14ac:dyDescent="0.35">
      <c r="A1" s="128" t="s">
        <v>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59"/>
      <c r="AA1" s="59"/>
      <c r="AB1" s="59"/>
      <c r="AC1" s="59"/>
      <c r="AD1" s="59"/>
      <c r="AE1" s="59"/>
      <c r="AF1" s="59"/>
    </row>
    <row r="2" spans="1:32" ht="36" customHeight="1" thickBot="1" x14ac:dyDescent="0.3">
      <c r="A2" s="127" t="s">
        <v>64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17"/>
      <c r="AA2" s="117"/>
      <c r="AB2" s="117"/>
      <c r="AC2" s="117"/>
      <c r="AD2" s="117"/>
      <c r="AE2" s="117"/>
      <c r="AF2" s="60"/>
    </row>
    <row r="3" spans="1:32" ht="26.25" thickBot="1" x14ac:dyDescent="0.3">
      <c r="A3" s="1" t="s">
        <v>0</v>
      </c>
      <c r="B3" s="2" t="s">
        <v>1</v>
      </c>
      <c r="C3" s="2" t="s">
        <v>2</v>
      </c>
      <c r="D3" s="3" t="s">
        <v>36</v>
      </c>
      <c r="E3" s="4" t="s">
        <v>66</v>
      </c>
      <c r="F3" s="4" t="s">
        <v>44</v>
      </c>
      <c r="G3" s="4" t="s">
        <v>45</v>
      </c>
      <c r="H3" s="4" t="s">
        <v>67</v>
      </c>
      <c r="I3" s="4" t="s">
        <v>48</v>
      </c>
      <c r="J3" s="4" t="s">
        <v>51</v>
      </c>
      <c r="K3" s="4" t="s">
        <v>53</v>
      </c>
      <c r="L3" s="4" t="s">
        <v>54</v>
      </c>
      <c r="M3" s="4" t="s">
        <v>56</v>
      </c>
      <c r="N3" s="4" t="s">
        <v>58</v>
      </c>
      <c r="O3" s="4" t="s">
        <v>61</v>
      </c>
      <c r="P3" s="4" t="s">
        <v>62</v>
      </c>
      <c r="Q3" s="4" t="s">
        <v>68</v>
      </c>
      <c r="R3" s="3" t="s">
        <v>3</v>
      </c>
      <c r="S3" s="3" t="s">
        <v>37</v>
      </c>
      <c r="T3" s="5" t="s">
        <v>4</v>
      </c>
      <c r="U3" s="6" t="s">
        <v>46</v>
      </c>
      <c r="V3" s="6" t="s">
        <v>47</v>
      </c>
      <c r="W3" s="6" t="s">
        <v>69</v>
      </c>
      <c r="X3" s="6" t="s">
        <v>49</v>
      </c>
      <c r="Y3" s="6" t="s">
        <v>50</v>
      </c>
      <c r="Z3" s="6" t="s">
        <v>52</v>
      </c>
      <c r="AA3" s="6" t="s">
        <v>55</v>
      </c>
      <c r="AB3" s="6" t="s">
        <v>57</v>
      </c>
      <c r="AC3" s="6" t="s">
        <v>59</v>
      </c>
      <c r="AD3" s="6" t="s">
        <v>60</v>
      </c>
      <c r="AE3" s="6" t="s">
        <v>63</v>
      </c>
      <c r="AF3" s="61"/>
    </row>
    <row r="4" spans="1:32" x14ac:dyDescent="0.25">
      <c r="A4" s="64"/>
      <c r="B4" s="65"/>
      <c r="C4" s="65"/>
      <c r="D4" s="61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1"/>
      <c r="S4" s="61"/>
      <c r="T4" s="67"/>
      <c r="U4" s="68"/>
      <c r="V4" s="68"/>
      <c r="W4" s="68"/>
      <c r="X4" s="68"/>
      <c r="Y4" s="68"/>
      <c r="Z4" s="68"/>
      <c r="AA4" s="120"/>
      <c r="AB4" s="120"/>
      <c r="AC4" s="120"/>
      <c r="AD4" s="120"/>
      <c r="AE4" s="120"/>
      <c r="AF4" s="61"/>
    </row>
    <row r="5" spans="1:32" ht="15.75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18"/>
      <c r="AA5" s="118"/>
      <c r="AB5" s="118"/>
      <c r="AC5" s="118"/>
      <c r="AD5" s="118"/>
      <c r="AE5" s="118"/>
      <c r="AF5" s="61"/>
    </row>
    <row r="6" spans="1:32" ht="28.5" x14ac:dyDescent="0.25">
      <c r="A6" s="76">
        <v>53260</v>
      </c>
      <c r="B6" s="77" t="s">
        <v>34</v>
      </c>
      <c r="C6" s="78" t="s">
        <v>5</v>
      </c>
      <c r="D6" s="79">
        <v>1.4</v>
      </c>
      <c r="E6" s="80">
        <v>1315.6</v>
      </c>
      <c r="F6" s="80">
        <f>F8</f>
        <v>627</v>
      </c>
      <c r="G6" s="80">
        <f>ROUND((E6-F6)*0.8,2)</f>
        <v>550.88</v>
      </c>
      <c r="H6" s="80">
        <v>101.65</v>
      </c>
      <c r="I6" s="80"/>
      <c r="J6" s="80"/>
      <c r="K6" s="80"/>
      <c r="L6" s="80"/>
      <c r="M6" s="80"/>
      <c r="N6" s="80"/>
      <c r="O6" s="80"/>
      <c r="P6" s="80"/>
      <c r="Q6" s="81">
        <f>(SUM(H6)/E6)</f>
        <v>7.7265126178169663E-2</v>
      </c>
      <c r="R6" s="79"/>
      <c r="S6" s="80">
        <f>(R6+D6)*(1+T6)*E6</f>
        <v>2471.7308615999996</v>
      </c>
      <c r="T6" s="82">
        <v>0.34199000000000002</v>
      </c>
      <c r="U6" s="83">
        <f>(R6+D6)*(1+T6)*F6</f>
        <v>1177.9988219999998</v>
      </c>
      <c r="V6" s="83">
        <f>(R6+D6)*(1+T6)*G6</f>
        <v>1034.9856316799999</v>
      </c>
      <c r="W6" s="83">
        <f>(R6+D6)*(1+T6)*H6</f>
        <v>190.97859689999999</v>
      </c>
      <c r="X6" s="83">
        <f t="shared" ref="X6:AB6" si="0">I6*$D6</f>
        <v>0</v>
      </c>
      <c r="Y6" s="83">
        <f t="shared" si="0"/>
        <v>0</v>
      </c>
      <c r="Z6" s="83">
        <f t="shared" si="0"/>
        <v>0</v>
      </c>
      <c r="AA6" s="83">
        <f t="shared" si="0"/>
        <v>0</v>
      </c>
      <c r="AB6" s="83">
        <f t="shared" si="0"/>
        <v>0</v>
      </c>
      <c r="AC6" s="83">
        <f t="shared" ref="AC6:AD6" si="1">O6*$D6</f>
        <v>0</v>
      </c>
      <c r="AD6" s="83">
        <f t="shared" si="1"/>
        <v>0</v>
      </c>
      <c r="AE6" s="83">
        <f t="shared" ref="AE6" si="2">P6*$D6</f>
        <v>0</v>
      </c>
      <c r="AF6" s="62">
        <f>SUM(U6:AE6)</f>
        <v>2403.9630505799996</v>
      </c>
    </row>
    <row r="7" spans="1:32" ht="16.5" x14ac:dyDescent="0.25">
      <c r="A7" s="76">
        <v>53520</v>
      </c>
      <c r="B7" s="77" t="s">
        <v>6</v>
      </c>
      <c r="C7" s="78" t="s">
        <v>7</v>
      </c>
      <c r="D7" s="79">
        <f>10.21</f>
        <v>10.210000000000001</v>
      </c>
      <c r="E7" s="80">
        <v>448</v>
      </c>
      <c r="F7" s="80">
        <f>110*2</f>
        <v>220</v>
      </c>
      <c r="G7" s="80">
        <f>ROUND((E7-F7)*0.8,2)</f>
        <v>182.4</v>
      </c>
      <c r="H7" s="80">
        <v>35.6</v>
      </c>
      <c r="I7" s="80"/>
      <c r="J7" s="80"/>
      <c r="K7" s="80"/>
      <c r="L7" s="80"/>
      <c r="M7" s="80"/>
      <c r="N7" s="80"/>
      <c r="O7" s="80"/>
      <c r="P7" s="80"/>
      <c r="Q7" s="81">
        <f t="shared" ref="Q7:Q10" si="3">(SUM(H7)/E7)</f>
        <v>7.9464285714285723E-2</v>
      </c>
      <c r="R7" s="79">
        <v>2.38</v>
      </c>
      <c r="S7" s="80">
        <f t="shared" ref="S7:S10" si="4">(R7+D7)*(1+T7)*E7</f>
        <v>7501.9809401599996</v>
      </c>
      <c r="T7" s="82">
        <v>0.330063</v>
      </c>
      <c r="U7" s="83">
        <f t="shared" ref="U7:U10" si="5">(R7+D7)*(1+T7)*F7</f>
        <v>3684.0084974000001</v>
      </c>
      <c r="V7" s="83">
        <f t="shared" ref="V7:V10" si="6">(R7+D7)*(1+T7)*G7</f>
        <v>3054.3779542080001</v>
      </c>
      <c r="W7" s="83">
        <f t="shared" ref="W7:W10" si="7">(R7+D7)*(1+T7)*H7</f>
        <v>596.13955685200006</v>
      </c>
      <c r="X7" s="83">
        <f t="shared" ref="X7:AA10" si="8">I7*$D7</f>
        <v>0</v>
      </c>
      <c r="Y7" s="83">
        <f t="shared" si="8"/>
        <v>0</v>
      </c>
      <c r="Z7" s="83">
        <f t="shared" si="8"/>
        <v>0</v>
      </c>
      <c r="AA7" s="83">
        <f t="shared" si="8"/>
        <v>0</v>
      </c>
      <c r="AB7" s="83">
        <f>M7*$D7</f>
        <v>0</v>
      </c>
      <c r="AC7" s="83">
        <f t="shared" ref="AC7:AD10" si="9">O7*$D7</f>
        <v>0</v>
      </c>
      <c r="AD7" s="83">
        <f t="shared" si="9"/>
        <v>0</v>
      </c>
      <c r="AE7" s="83">
        <f t="shared" ref="AE7:AE10" si="10">P7*$D7</f>
        <v>0</v>
      </c>
      <c r="AF7" s="62">
        <f t="shared" ref="AF7:AF38" si="11">SUM(U7:AE7)</f>
        <v>7334.5260084600004</v>
      </c>
    </row>
    <row r="8" spans="1:32" ht="16.5" x14ac:dyDescent="0.25">
      <c r="A8" s="76">
        <v>52145</v>
      </c>
      <c r="B8" s="77" t="s">
        <v>8</v>
      </c>
      <c r="C8" s="78" t="s">
        <v>5</v>
      </c>
      <c r="D8" s="79">
        <f>19.59</f>
        <v>19.59</v>
      </c>
      <c r="E8" s="80">
        <v>1315.6</v>
      </c>
      <c r="F8" s="80">
        <f>5.7*110</f>
        <v>627</v>
      </c>
      <c r="G8" s="80">
        <f>ROUND((E8-F8)*0.8,2)</f>
        <v>550.88</v>
      </c>
      <c r="H8" s="80">
        <v>101.65</v>
      </c>
      <c r="I8" s="80"/>
      <c r="J8" s="80"/>
      <c r="K8" s="80"/>
      <c r="L8" s="80"/>
      <c r="M8" s="80"/>
      <c r="N8" s="80"/>
      <c r="O8" s="80"/>
      <c r="P8" s="80"/>
      <c r="Q8" s="81">
        <f t="shared" si="3"/>
        <v>7.7265126178169663E-2</v>
      </c>
      <c r="R8" s="79">
        <v>9.26</v>
      </c>
      <c r="S8" s="80">
        <f t="shared" si="4"/>
        <v>37957.565033959996</v>
      </c>
      <c r="T8" s="82">
        <v>6.6000000000000005E-5</v>
      </c>
      <c r="U8" s="83">
        <f t="shared" si="5"/>
        <v>18090.143870699998</v>
      </c>
      <c r="V8" s="83">
        <f t="shared" si="6"/>
        <v>15893.936930607999</v>
      </c>
      <c r="W8" s="83">
        <f t="shared" si="7"/>
        <v>2932.7960517649999</v>
      </c>
      <c r="X8" s="83">
        <f t="shared" si="8"/>
        <v>0</v>
      </c>
      <c r="Y8" s="83">
        <f t="shared" si="8"/>
        <v>0</v>
      </c>
      <c r="Z8" s="83">
        <f t="shared" si="8"/>
        <v>0</v>
      </c>
      <c r="AA8" s="83">
        <f t="shared" si="8"/>
        <v>0</v>
      </c>
      <c r="AB8" s="83">
        <f>M8*$D8</f>
        <v>0</v>
      </c>
      <c r="AC8" s="83">
        <f t="shared" si="9"/>
        <v>0</v>
      </c>
      <c r="AD8" s="83">
        <f t="shared" si="9"/>
        <v>0</v>
      </c>
      <c r="AE8" s="83">
        <f t="shared" si="10"/>
        <v>0</v>
      </c>
      <c r="AF8" s="62">
        <f t="shared" si="11"/>
        <v>36916.876853072994</v>
      </c>
    </row>
    <row r="9" spans="1:32" ht="16.5" x14ac:dyDescent="0.25">
      <c r="A9" s="76">
        <v>53265</v>
      </c>
      <c r="B9" s="77" t="s">
        <v>35</v>
      </c>
      <c r="C9" s="78" t="s">
        <v>5</v>
      </c>
      <c r="D9" s="79">
        <v>0.84</v>
      </c>
      <c r="E9" s="80">
        <v>1450</v>
      </c>
      <c r="F9" s="80">
        <f>6*110</f>
        <v>660</v>
      </c>
      <c r="G9" s="80">
        <f>ROUND((E9-F9)*0.8,2)</f>
        <v>632</v>
      </c>
      <c r="H9" s="80">
        <v>107</v>
      </c>
      <c r="I9" s="80"/>
      <c r="J9" s="80"/>
      <c r="K9" s="80"/>
      <c r="L9" s="80"/>
      <c r="M9" s="80"/>
      <c r="N9" s="80"/>
      <c r="O9" s="80"/>
      <c r="P9" s="80"/>
      <c r="Q9" s="81">
        <f t="shared" si="3"/>
        <v>7.379310344827586E-2</v>
      </c>
      <c r="R9" s="79"/>
      <c r="S9" s="80">
        <f t="shared" si="4"/>
        <v>1623.9594</v>
      </c>
      <c r="T9" s="82">
        <v>0.33329999999999999</v>
      </c>
      <c r="U9" s="83">
        <f t="shared" si="5"/>
        <v>739.18151999999998</v>
      </c>
      <c r="V9" s="83">
        <f t="shared" si="6"/>
        <v>707.82230400000003</v>
      </c>
      <c r="W9" s="83">
        <f t="shared" si="7"/>
        <v>119.83700399999999</v>
      </c>
      <c r="X9" s="83">
        <f t="shared" si="8"/>
        <v>0</v>
      </c>
      <c r="Y9" s="83">
        <f t="shared" si="8"/>
        <v>0</v>
      </c>
      <c r="Z9" s="83">
        <f t="shared" si="8"/>
        <v>0</v>
      </c>
      <c r="AA9" s="83">
        <f t="shared" si="8"/>
        <v>0</v>
      </c>
      <c r="AB9" s="83">
        <f>M9*$D9</f>
        <v>0</v>
      </c>
      <c r="AC9" s="83">
        <f t="shared" si="9"/>
        <v>0</v>
      </c>
      <c r="AD9" s="83">
        <f t="shared" si="9"/>
        <v>0</v>
      </c>
      <c r="AE9" s="83">
        <f t="shared" si="10"/>
        <v>0</v>
      </c>
      <c r="AF9" s="62">
        <f t="shared" si="11"/>
        <v>1566.8408279999999</v>
      </c>
    </row>
    <row r="10" spans="1:32" ht="16.5" x14ac:dyDescent="0.25">
      <c r="A10" s="84">
        <v>57510</v>
      </c>
      <c r="B10" s="85" t="s">
        <v>9</v>
      </c>
      <c r="C10" s="86" t="s">
        <v>5</v>
      </c>
      <c r="D10" s="87">
        <v>1.58</v>
      </c>
      <c r="E10" s="88">
        <v>448</v>
      </c>
      <c r="F10" s="88">
        <f>F7</f>
        <v>220</v>
      </c>
      <c r="G10" s="80">
        <f>ROUND((E10-F10)*0.8,2)</f>
        <v>182.4</v>
      </c>
      <c r="H10" s="88">
        <v>35.6</v>
      </c>
      <c r="I10" s="88"/>
      <c r="J10" s="88"/>
      <c r="K10" s="88"/>
      <c r="L10" s="88"/>
      <c r="M10" s="88"/>
      <c r="N10" s="88"/>
      <c r="O10" s="88"/>
      <c r="P10" s="88"/>
      <c r="Q10" s="81">
        <f t="shared" si="3"/>
        <v>7.9464285714285723E-2</v>
      </c>
      <c r="R10" s="87"/>
      <c r="S10" s="80">
        <f t="shared" si="4"/>
        <v>943.76307199999997</v>
      </c>
      <c r="T10" s="89">
        <v>0.33329999999999999</v>
      </c>
      <c r="U10" s="83">
        <f t="shared" si="5"/>
        <v>463.45508000000001</v>
      </c>
      <c r="V10" s="83">
        <f t="shared" si="6"/>
        <v>384.24639360000003</v>
      </c>
      <c r="W10" s="83">
        <f t="shared" si="7"/>
        <v>74.995458400000004</v>
      </c>
      <c r="X10" s="83">
        <f t="shared" si="8"/>
        <v>0</v>
      </c>
      <c r="Y10" s="83">
        <f t="shared" si="8"/>
        <v>0</v>
      </c>
      <c r="Z10" s="83">
        <f t="shared" si="8"/>
        <v>0</v>
      </c>
      <c r="AA10" s="83">
        <f t="shared" si="8"/>
        <v>0</v>
      </c>
      <c r="AB10" s="83">
        <f>M10*$D10</f>
        <v>0</v>
      </c>
      <c r="AC10" s="83">
        <f t="shared" si="9"/>
        <v>0</v>
      </c>
      <c r="AD10" s="83">
        <f t="shared" si="9"/>
        <v>0</v>
      </c>
      <c r="AE10" s="83">
        <f t="shared" si="10"/>
        <v>0</v>
      </c>
      <c r="AF10" s="62">
        <f t="shared" si="11"/>
        <v>922.69693200000006</v>
      </c>
    </row>
    <row r="11" spans="1:32" ht="16.5" x14ac:dyDescent="0.25">
      <c r="A11" s="69"/>
      <c r="B11" s="70"/>
      <c r="C11" s="70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  <c r="R11" s="71"/>
      <c r="S11" s="71">
        <f>SUM(S6:S10)</f>
        <v>50498.999307719998</v>
      </c>
      <c r="T11" s="74"/>
      <c r="U11" s="75">
        <f t="shared" ref="U11:AE11" si="12">SUM(U6:U10)</f>
        <v>24154.787790099996</v>
      </c>
      <c r="V11" s="75">
        <f t="shared" si="12"/>
        <v>21075.369214095997</v>
      </c>
      <c r="W11" s="75">
        <f t="shared" si="12"/>
        <v>3914.7466679170002</v>
      </c>
      <c r="X11" s="75">
        <f t="shared" si="12"/>
        <v>0</v>
      </c>
      <c r="Y11" s="75">
        <f t="shared" si="12"/>
        <v>0</v>
      </c>
      <c r="Z11" s="75">
        <f t="shared" ref="Z11:AA11" si="13">SUM(Z6:Z10)</f>
        <v>0</v>
      </c>
      <c r="AA11" s="75">
        <f t="shared" si="13"/>
        <v>0</v>
      </c>
      <c r="AB11" s="75">
        <f t="shared" ref="AB11:AD11" si="14">SUM(AB6:AB10)</f>
        <v>0</v>
      </c>
      <c r="AC11" s="75">
        <f t="shared" ref="AC11" si="15">SUM(AC6:AC10)</f>
        <v>0</v>
      </c>
      <c r="AD11" s="75">
        <f t="shared" si="14"/>
        <v>0</v>
      </c>
      <c r="AE11" s="75">
        <f t="shared" si="12"/>
        <v>0</v>
      </c>
      <c r="AF11" s="62">
        <f t="shared" si="11"/>
        <v>49144.903672112996</v>
      </c>
    </row>
    <row r="12" spans="1:32" ht="16.5" x14ac:dyDescent="0.25">
      <c r="A12" s="64"/>
      <c r="B12" s="65"/>
      <c r="C12" s="65"/>
      <c r="D12" s="61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1"/>
      <c r="S12" s="61"/>
      <c r="T12" s="67"/>
      <c r="U12" s="68"/>
      <c r="V12" s="68"/>
      <c r="W12" s="68"/>
      <c r="X12" s="68"/>
      <c r="Y12" s="68"/>
      <c r="Z12" s="68"/>
      <c r="AA12" s="119"/>
      <c r="AB12" s="119"/>
      <c r="AC12" s="119"/>
      <c r="AD12" s="119"/>
      <c r="AE12" s="119"/>
      <c r="AF12" s="62"/>
    </row>
    <row r="13" spans="1:32" ht="16.5" hidden="1" x14ac:dyDescent="0.25">
      <c r="A13" s="129" t="s">
        <v>40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18"/>
      <c r="AA13" s="118"/>
      <c r="AB13" s="118"/>
      <c r="AC13" s="118"/>
      <c r="AD13" s="118"/>
      <c r="AE13" s="118"/>
      <c r="AF13" s="62"/>
    </row>
    <row r="14" spans="1:32" ht="28.5" hidden="1" x14ac:dyDescent="0.25">
      <c r="A14" s="76">
        <v>53260</v>
      </c>
      <c r="B14" s="77" t="s">
        <v>34</v>
      </c>
      <c r="C14" s="78" t="s">
        <v>5</v>
      </c>
      <c r="D14" s="79">
        <v>1.7</v>
      </c>
      <c r="E14" s="80">
        <v>2506.59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1">
        <f>(SUM(F14:P14)/E14)</f>
        <v>0</v>
      </c>
      <c r="R14" s="79"/>
      <c r="S14" s="80">
        <f>(R14+D14)*E14</f>
        <v>4261.2030000000004</v>
      </c>
      <c r="T14" s="82">
        <v>0.33329999999999999</v>
      </c>
      <c r="U14" s="83">
        <f t="shared" ref="U14:U18" si="16">F14*D14</f>
        <v>0</v>
      </c>
      <c r="V14" s="83">
        <f>G14*D14</f>
        <v>0</v>
      </c>
      <c r="W14" s="83">
        <f t="shared" ref="W14:AB18" si="17">H14*$D14</f>
        <v>0</v>
      </c>
      <c r="X14" s="83">
        <f t="shared" si="17"/>
        <v>0</v>
      </c>
      <c r="Y14" s="83">
        <f t="shared" si="17"/>
        <v>0</v>
      </c>
      <c r="Z14" s="83">
        <f t="shared" si="17"/>
        <v>0</v>
      </c>
      <c r="AA14" s="83">
        <f t="shared" si="17"/>
        <v>0</v>
      </c>
      <c r="AB14" s="83">
        <f t="shared" si="17"/>
        <v>0</v>
      </c>
      <c r="AC14" s="83">
        <f t="shared" ref="AC14:AC15" si="18">N14*$D14</f>
        <v>0</v>
      </c>
      <c r="AD14" s="83">
        <f>O14*$D14</f>
        <v>0</v>
      </c>
      <c r="AE14" s="83">
        <f t="shared" ref="AE14:AE18" si="19">P14*$D14</f>
        <v>0</v>
      </c>
      <c r="AF14" s="62"/>
    </row>
    <row r="15" spans="1:32" ht="16.5" hidden="1" x14ac:dyDescent="0.25">
      <c r="A15" s="76">
        <v>53520</v>
      </c>
      <c r="B15" s="77" t="s">
        <v>6</v>
      </c>
      <c r="C15" s="78" t="s">
        <v>7</v>
      </c>
      <c r="D15" s="79">
        <v>13.89</v>
      </c>
      <c r="E15" s="80">
        <v>1080.7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1">
        <f t="shared" ref="Q15:Q18" si="20">(SUM(F15:P15)/E15)</f>
        <v>0</v>
      </c>
      <c r="R15" s="79"/>
      <c r="S15" s="80">
        <f>(R15+D15)*E15+0.005</f>
        <v>15010.928</v>
      </c>
      <c r="T15" s="82">
        <v>0.33329999999999999</v>
      </c>
      <c r="U15" s="83">
        <f t="shared" si="16"/>
        <v>0</v>
      </c>
      <c r="V15" s="83">
        <f>G15*D15</f>
        <v>0</v>
      </c>
      <c r="W15" s="83">
        <f t="shared" si="17"/>
        <v>0</v>
      </c>
      <c r="X15" s="83">
        <f t="shared" si="17"/>
        <v>0</v>
      </c>
      <c r="Y15" s="83">
        <f t="shared" si="17"/>
        <v>0</v>
      </c>
      <c r="Z15" s="83">
        <f t="shared" si="17"/>
        <v>0</v>
      </c>
      <c r="AA15" s="83">
        <f t="shared" si="17"/>
        <v>0</v>
      </c>
      <c r="AB15" s="83">
        <f t="shared" si="17"/>
        <v>0</v>
      </c>
      <c r="AC15" s="83">
        <f t="shared" si="18"/>
        <v>0</v>
      </c>
      <c r="AD15" s="83">
        <f>O15*$D15</f>
        <v>0</v>
      </c>
      <c r="AE15" s="83">
        <f t="shared" si="19"/>
        <v>0</v>
      </c>
      <c r="AF15" s="62"/>
    </row>
    <row r="16" spans="1:32" ht="16.5" hidden="1" x14ac:dyDescent="0.25">
      <c r="A16" s="76">
        <v>52145</v>
      </c>
      <c r="B16" s="77" t="s">
        <v>8</v>
      </c>
      <c r="C16" s="78" t="s">
        <v>5</v>
      </c>
      <c r="D16" s="79">
        <v>32.590000000000003</v>
      </c>
      <c r="E16" s="80">
        <v>2506.59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1">
        <f t="shared" si="20"/>
        <v>0</v>
      </c>
      <c r="R16" s="79"/>
      <c r="S16" s="80">
        <f>(R16+D16)*E16+0.005</f>
        <v>81689.77310000002</v>
      </c>
      <c r="T16" s="82">
        <v>0.33329999999999999</v>
      </c>
      <c r="U16" s="83">
        <f t="shared" si="16"/>
        <v>0</v>
      </c>
      <c r="V16" s="83">
        <f>G16*D16</f>
        <v>0</v>
      </c>
      <c r="W16" s="83">
        <f t="shared" si="17"/>
        <v>0</v>
      </c>
      <c r="X16" s="83">
        <f t="shared" si="17"/>
        <v>0</v>
      </c>
      <c r="Y16" s="83">
        <f t="shared" si="17"/>
        <v>0</v>
      </c>
      <c r="Z16" s="83">
        <f t="shared" si="17"/>
        <v>0</v>
      </c>
      <c r="AA16" s="83">
        <f t="shared" si="17"/>
        <v>0</v>
      </c>
      <c r="AB16" s="83">
        <f t="shared" si="17"/>
        <v>0</v>
      </c>
      <c r="AC16" s="83">
        <f>N16*$D16</f>
        <v>0</v>
      </c>
      <c r="AD16" s="83">
        <f>O16*$D16</f>
        <v>0</v>
      </c>
      <c r="AE16" s="83">
        <f t="shared" si="19"/>
        <v>0</v>
      </c>
      <c r="AF16" s="62"/>
    </row>
    <row r="17" spans="1:32" ht="16.5" hidden="1" x14ac:dyDescent="0.25">
      <c r="A17" s="76">
        <v>53265</v>
      </c>
      <c r="B17" s="77" t="s">
        <v>35</v>
      </c>
      <c r="C17" s="78" t="s">
        <v>5</v>
      </c>
      <c r="D17" s="79">
        <v>1.02</v>
      </c>
      <c r="E17" s="80">
        <v>2830.8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>
        <f t="shared" si="20"/>
        <v>0</v>
      </c>
      <c r="R17" s="79"/>
      <c r="S17" s="80">
        <f>(R17+D17)*E17</f>
        <v>2887.4160000000002</v>
      </c>
      <c r="T17" s="82">
        <v>0.33329999999999999</v>
      </c>
      <c r="U17" s="83">
        <f t="shared" si="16"/>
        <v>0</v>
      </c>
      <c r="V17" s="83">
        <f>G17*D17</f>
        <v>0</v>
      </c>
      <c r="W17" s="83">
        <f t="shared" si="17"/>
        <v>0</v>
      </c>
      <c r="X17" s="83">
        <f t="shared" si="17"/>
        <v>0</v>
      </c>
      <c r="Y17" s="83">
        <f t="shared" si="17"/>
        <v>0</v>
      </c>
      <c r="Z17" s="83">
        <f t="shared" si="17"/>
        <v>0</v>
      </c>
      <c r="AA17" s="83">
        <f t="shared" si="17"/>
        <v>0</v>
      </c>
      <c r="AB17" s="83">
        <f t="shared" si="17"/>
        <v>0</v>
      </c>
      <c r="AC17" s="83">
        <f t="shared" ref="AC17:AC18" si="21">N17*$D17</f>
        <v>0</v>
      </c>
      <c r="AD17" s="83">
        <f>O17*$D17</f>
        <v>0</v>
      </c>
      <c r="AE17" s="83">
        <f t="shared" si="19"/>
        <v>0</v>
      </c>
      <c r="AF17" s="62"/>
    </row>
    <row r="18" spans="1:32" ht="16.5" hidden="1" x14ac:dyDescent="0.25">
      <c r="A18" s="84">
        <v>57510</v>
      </c>
      <c r="B18" s="85" t="s">
        <v>9</v>
      </c>
      <c r="C18" s="86" t="s">
        <v>5</v>
      </c>
      <c r="D18" s="87">
        <v>1.93</v>
      </c>
      <c r="E18" s="88">
        <v>1080.7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1">
        <f t="shared" si="20"/>
        <v>0</v>
      </c>
      <c r="R18" s="87"/>
      <c r="S18" s="88">
        <f>(R18+D18)*E18+0.005</f>
        <v>2085.7560000000003</v>
      </c>
      <c r="T18" s="89">
        <v>0.33329999999999999</v>
      </c>
      <c r="U18" s="83">
        <f t="shared" si="16"/>
        <v>0</v>
      </c>
      <c r="V18" s="83">
        <f>G18*D18</f>
        <v>0</v>
      </c>
      <c r="W18" s="83">
        <f t="shared" si="17"/>
        <v>0</v>
      </c>
      <c r="X18" s="83">
        <f t="shared" si="17"/>
        <v>0</v>
      </c>
      <c r="Y18" s="83">
        <f t="shared" si="17"/>
        <v>0</v>
      </c>
      <c r="Z18" s="83">
        <f t="shared" si="17"/>
        <v>0</v>
      </c>
      <c r="AA18" s="83">
        <f t="shared" si="17"/>
        <v>0</v>
      </c>
      <c r="AB18" s="83">
        <f t="shared" si="17"/>
        <v>0</v>
      </c>
      <c r="AC18" s="83">
        <f t="shared" si="21"/>
        <v>0</v>
      </c>
      <c r="AD18" s="83">
        <f>O18*$D18</f>
        <v>0</v>
      </c>
      <c r="AE18" s="83">
        <f t="shared" si="19"/>
        <v>0</v>
      </c>
      <c r="AF18" s="62"/>
    </row>
    <row r="19" spans="1:32" ht="16.5" hidden="1" x14ac:dyDescent="0.25">
      <c r="A19" s="69"/>
      <c r="B19" s="70" t="s">
        <v>39</v>
      </c>
      <c r="C19" s="70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>
        <f>(SUM(U19:AE19))/S19</f>
        <v>0</v>
      </c>
      <c r="R19" s="71"/>
      <c r="S19" s="71">
        <f>SUM(S14:S18)</f>
        <v>105935.07610000001</v>
      </c>
      <c r="T19" s="74"/>
      <c r="U19" s="75">
        <f t="shared" ref="U19:AE19" si="22">SUM(U14:U18)</f>
        <v>0</v>
      </c>
      <c r="V19" s="75">
        <f t="shared" si="22"/>
        <v>0</v>
      </c>
      <c r="W19" s="75">
        <f t="shared" si="22"/>
        <v>0</v>
      </c>
      <c r="X19" s="75">
        <f t="shared" si="22"/>
        <v>0</v>
      </c>
      <c r="Y19" s="75">
        <f t="shared" si="22"/>
        <v>0</v>
      </c>
      <c r="Z19" s="75">
        <f t="shared" ref="Z19:AA19" si="23">SUM(Z14:Z18)</f>
        <v>0</v>
      </c>
      <c r="AA19" s="75">
        <f t="shared" si="23"/>
        <v>0</v>
      </c>
      <c r="AB19" s="75">
        <f t="shared" ref="AB19:AD19" si="24">SUM(AB14:AB18)</f>
        <v>0</v>
      </c>
      <c r="AC19" s="75">
        <f t="shared" ref="AC19" si="25">SUM(AC14:AC18)</f>
        <v>0</v>
      </c>
      <c r="AD19" s="75">
        <f t="shared" si="24"/>
        <v>0</v>
      </c>
      <c r="AE19" s="75">
        <f t="shared" si="22"/>
        <v>0</v>
      </c>
      <c r="AF19" s="62"/>
    </row>
    <row r="20" spans="1:32" ht="16.5" hidden="1" x14ac:dyDescent="0.25">
      <c r="A20" s="90"/>
      <c r="B20" s="91"/>
      <c r="C20" s="91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  <c r="R20" s="92"/>
      <c r="S20" s="92"/>
      <c r="T20" s="95"/>
      <c r="U20" s="96"/>
      <c r="V20" s="96"/>
      <c r="W20" s="96"/>
      <c r="X20" s="96"/>
      <c r="Y20" s="96"/>
      <c r="Z20" s="96"/>
      <c r="AA20" s="121"/>
      <c r="AB20" s="121"/>
      <c r="AC20" s="121"/>
      <c r="AD20" s="121"/>
      <c r="AE20" s="121"/>
      <c r="AF20" s="62"/>
    </row>
    <row r="21" spans="1:32" ht="16.5" hidden="1" x14ac:dyDescent="0.25">
      <c r="A21" s="129" t="s">
        <v>38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18"/>
      <c r="AA21" s="118"/>
      <c r="AB21" s="118"/>
      <c r="AC21" s="118"/>
      <c r="AD21" s="118"/>
      <c r="AE21" s="118"/>
      <c r="AF21" s="62"/>
    </row>
    <row r="22" spans="1:32" ht="28.5" hidden="1" x14ac:dyDescent="0.25">
      <c r="A22" s="76">
        <v>53260</v>
      </c>
      <c r="B22" s="77" t="s">
        <v>34</v>
      </c>
      <c r="C22" s="78" t="s">
        <v>5</v>
      </c>
      <c r="D22" s="79">
        <v>1.7</v>
      </c>
      <c r="E22" s="80">
        <v>2385.16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1">
        <f t="shared" ref="Q22:Q26" si="26">(F22+G22+H22+I22+J22)/E22</f>
        <v>0</v>
      </c>
      <c r="R22" s="79"/>
      <c r="S22" s="80">
        <f>(R22+D22)*E22</f>
        <v>4054.7719999999995</v>
      </c>
      <c r="T22" s="82">
        <v>0.33329999999999999</v>
      </c>
      <c r="U22" s="83">
        <f t="shared" ref="U22:U26" si="27">F22*D22</f>
        <v>0</v>
      </c>
      <c r="V22" s="83">
        <f>G22*D22</f>
        <v>0</v>
      </c>
      <c r="W22" s="83">
        <f t="shared" ref="W22:AB22" si="28">H22*$D22</f>
        <v>0</v>
      </c>
      <c r="X22" s="83">
        <f t="shared" si="28"/>
        <v>0</v>
      </c>
      <c r="Y22" s="83">
        <f t="shared" si="28"/>
        <v>0</v>
      </c>
      <c r="Z22" s="83">
        <f t="shared" si="28"/>
        <v>0</v>
      </c>
      <c r="AA22" s="83">
        <f t="shared" si="28"/>
        <v>0</v>
      </c>
      <c r="AB22" s="83">
        <f t="shared" si="28"/>
        <v>0</v>
      </c>
      <c r="AC22" s="83">
        <f t="shared" ref="AC22:AD22" si="29">O22*$D22</f>
        <v>0</v>
      </c>
      <c r="AD22" s="83">
        <f t="shared" si="29"/>
        <v>0</v>
      </c>
      <c r="AE22" s="83">
        <f t="shared" ref="AE22:AE26" si="30">P22*$D22</f>
        <v>0</v>
      </c>
      <c r="AF22" s="62"/>
    </row>
    <row r="23" spans="1:32" ht="16.5" hidden="1" x14ac:dyDescent="0.25">
      <c r="A23" s="76">
        <v>53520</v>
      </c>
      <c r="B23" s="77" t="s">
        <v>6</v>
      </c>
      <c r="C23" s="78" t="s">
        <v>7</v>
      </c>
      <c r="D23" s="79">
        <v>13.88</v>
      </c>
      <c r="E23" s="80">
        <v>757.56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>
        <f t="shared" si="26"/>
        <v>0</v>
      </c>
      <c r="R23" s="79"/>
      <c r="S23" s="80">
        <f>(R23+D23)*E23+0.005</f>
        <v>10514.9378</v>
      </c>
      <c r="T23" s="82">
        <v>0.33329999999999999</v>
      </c>
      <c r="U23" s="83">
        <f t="shared" si="27"/>
        <v>0</v>
      </c>
      <c r="V23" s="83">
        <f>G23*D23</f>
        <v>0</v>
      </c>
      <c r="W23" s="83">
        <f>H23*$D23</f>
        <v>0</v>
      </c>
      <c r="X23" s="83">
        <f t="shared" ref="X23:AB26" si="31">I23*$D23</f>
        <v>0</v>
      </c>
      <c r="Y23" s="83">
        <f t="shared" si="31"/>
        <v>0</v>
      </c>
      <c r="Z23" s="83">
        <f t="shared" si="31"/>
        <v>0</v>
      </c>
      <c r="AA23" s="83">
        <f t="shared" si="31"/>
        <v>0</v>
      </c>
      <c r="AB23" s="83">
        <f t="shared" si="31"/>
        <v>0</v>
      </c>
      <c r="AC23" s="83">
        <f t="shared" ref="AC23:AD26" si="32">O23*$D23</f>
        <v>0</v>
      </c>
      <c r="AD23" s="83">
        <f t="shared" si="32"/>
        <v>0</v>
      </c>
      <c r="AE23" s="83">
        <f t="shared" si="30"/>
        <v>0</v>
      </c>
      <c r="AF23" s="62"/>
    </row>
    <row r="24" spans="1:32" ht="16.5" hidden="1" x14ac:dyDescent="0.25">
      <c r="A24" s="76">
        <v>52145</v>
      </c>
      <c r="B24" s="77" t="s">
        <v>8</v>
      </c>
      <c r="C24" s="78" t="s">
        <v>5</v>
      </c>
      <c r="D24" s="79">
        <v>32.590000000000003</v>
      </c>
      <c r="E24" s="80">
        <f>E22</f>
        <v>2385.16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>
        <f t="shared" si="26"/>
        <v>0</v>
      </c>
      <c r="R24" s="79"/>
      <c r="S24" s="80">
        <f>(R24+D24)*E24+0.005</f>
        <v>77732.369400000011</v>
      </c>
      <c r="T24" s="82">
        <v>0.33329999999999999</v>
      </c>
      <c r="U24" s="83">
        <f t="shared" si="27"/>
        <v>0</v>
      </c>
      <c r="V24" s="83">
        <f>G24*D24</f>
        <v>0</v>
      </c>
      <c r="W24" s="83">
        <f>H24*$D24</f>
        <v>0</v>
      </c>
      <c r="X24" s="83">
        <f t="shared" si="31"/>
        <v>0</v>
      </c>
      <c r="Y24" s="83">
        <f t="shared" si="31"/>
        <v>0</v>
      </c>
      <c r="Z24" s="83">
        <f t="shared" si="31"/>
        <v>0</v>
      </c>
      <c r="AA24" s="83">
        <f t="shared" si="31"/>
        <v>0</v>
      </c>
      <c r="AB24" s="83">
        <f t="shared" si="31"/>
        <v>0</v>
      </c>
      <c r="AC24" s="83">
        <f t="shared" si="32"/>
        <v>0</v>
      </c>
      <c r="AD24" s="83">
        <f t="shared" si="32"/>
        <v>0</v>
      </c>
      <c r="AE24" s="83">
        <f t="shared" si="30"/>
        <v>0</v>
      </c>
      <c r="AF24" s="62"/>
    </row>
    <row r="25" spans="1:32" ht="16.5" hidden="1" x14ac:dyDescent="0.25">
      <c r="A25" s="76">
        <v>53265</v>
      </c>
      <c r="B25" s="77" t="s">
        <v>35</v>
      </c>
      <c r="C25" s="78" t="s">
        <v>5</v>
      </c>
      <c r="D25" s="79">
        <v>1.02</v>
      </c>
      <c r="E25" s="80">
        <f>2612.43</f>
        <v>2612.4299999999998</v>
      </c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>
        <f t="shared" si="26"/>
        <v>0</v>
      </c>
      <c r="R25" s="79"/>
      <c r="S25" s="80">
        <f>(R25+D25)*E25</f>
        <v>2664.6785999999997</v>
      </c>
      <c r="T25" s="82">
        <v>0.33329999999999999</v>
      </c>
      <c r="U25" s="83">
        <f t="shared" si="27"/>
        <v>0</v>
      </c>
      <c r="V25" s="83">
        <f>G25*D25</f>
        <v>0</v>
      </c>
      <c r="W25" s="83">
        <f>H25*$D25</f>
        <v>0</v>
      </c>
      <c r="X25" s="83">
        <f t="shared" si="31"/>
        <v>0</v>
      </c>
      <c r="Y25" s="83">
        <f t="shared" si="31"/>
        <v>0</v>
      </c>
      <c r="Z25" s="83">
        <f t="shared" si="31"/>
        <v>0</v>
      </c>
      <c r="AA25" s="83">
        <f t="shared" si="31"/>
        <v>0</v>
      </c>
      <c r="AB25" s="83">
        <f t="shared" si="31"/>
        <v>0</v>
      </c>
      <c r="AC25" s="83">
        <f t="shared" si="32"/>
        <v>0</v>
      </c>
      <c r="AD25" s="83">
        <f t="shared" si="32"/>
        <v>0</v>
      </c>
      <c r="AE25" s="83">
        <f t="shared" si="30"/>
        <v>0</v>
      </c>
      <c r="AF25" s="62"/>
    </row>
    <row r="26" spans="1:32" ht="16.5" hidden="1" x14ac:dyDescent="0.25">
      <c r="A26" s="84">
        <v>57510</v>
      </c>
      <c r="B26" s="85" t="s">
        <v>9</v>
      </c>
      <c r="C26" s="86" t="s">
        <v>5</v>
      </c>
      <c r="D26" s="87">
        <v>1.93</v>
      </c>
      <c r="E26" s="88">
        <v>757.46</v>
      </c>
      <c r="F26" s="88"/>
      <c r="G26" s="88"/>
      <c r="H26" s="80"/>
      <c r="I26" s="80"/>
      <c r="J26" s="80"/>
      <c r="K26" s="80"/>
      <c r="L26" s="80"/>
      <c r="M26" s="80"/>
      <c r="N26" s="80"/>
      <c r="O26" s="80"/>
      <c r="P26" s="80"/>
      <c r="Q26" s="81">
        <f t="shared" si="26"/>
        <v>0</v>
      </c>
      <c r="R26" s="87"/>
      <c r="S26" s="88">
        <f>(R26+D26)*E26</f>
        <v>1461.8978</v>
      </c>
      <c r="T26" s="89">
        <v>0.33329999999999999</v>
      </c>
      <c r="U26" s="83">
        <f t="shared" si="27"/>
        <v>0</v>
      </c>
      <c r="V26" s="83">
        <f>G26*D26</f>
        <v>0</v>
      </c>
      <c r="W26" s="83">
        <f>H26*$D26</f>
        <v>0</v>
      </c>
      <c r="X26" s="83">
        <f t="shared" si="31"/>
        <v>0</v>
      </c>
      <c r="Y26" s="83">
        <f t="shared" si="31"/>
        <v>0</v>
      </c>
      <c r="Z26" s="83">
        <f t="shared" si="31"/>
        <v>0</v>
      </c>
      <c r="AA26" s="83">
        <f t="shared" si="31"/>
        <v>0</v>
      </c>
      <c r="AB26" s="83">
        <f t="shared" si="31"/>
        <v>0</v>
      </c>
      <c r="AC26" s="83">
        <f t="shared" si="32"/>
        <v>0</v>
      </c>
      <c r="AD26" s="83">
        <f t="shared" si="32"/>
        <v>0</v>
      </c>
      <c r="AE26" s="83">
        <f t="shared" si="30"/>
        <v>0</v>
      </c>
      <c r="AF26" s="62"/>
    </row>
    <row r="27" spans="1:32" ht="16.5" hidden="1" x14ac:dyDescent="0.25">
      <c r="A27" s="69"/>
      <c r="B27" s="70" t="s">
        <v>41</v>
      </c>
      <c r="C27" s="70"/>
      <c r="D27" s="71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>
        <f>(SUM(U27:AE27))/S27</f>
        <v>0</v>
      </c>
      <c r="R27" s="71"/>
      <c r="S27" s="71">
        <f>SUM(S22:S26)</f>
        <v>96428.655600000013</v>
      </c>
      <c r="T27" s="74"/>
      <c r="U27" s="75">
        <f t="shared" ref="U27:AE27" si="33">SUM(U22:U26)</f>
        <v>0</v>
      </c>
      <c r="V27" s="75">
        <f t="shared" si="33"/>
        <v>0</v>
      </c>
      <c r="W27" s="75">
        <f t="shared" si="33"/>
        <v>0</v>
      </c>
      <c r="X27" s="75">
        <f t="shared" si="33"/>
        <v>0</v>
      </c>
      <c r="Y27" s="75">
        <f t="shared" si="33"/>
        <v>0</v>
      </c>
      <c r="Z27" s="75">
        <f t="shared" ref="Z27:AA27" si="34">SUM(Z22:Z26)</f>
        <v>0</v>
      </c>
      <c r="AA27" s="75">
        <f t="shared" si="34"/>
        <v>0</v>
      </c>
      <c r="AB27" s="75">
        <f t="shared" ref="AB27:AD27" si="35">SUM(AB22:AB26)</f>
        <v>0</v>
      </c>
      <c r="AC27" s="75">
        <f t="shared" ref="AC27" si="36">SUM(AC22:AC26)</f>
        <v>0</v>
      </c>
      <c r="AD27" s="75">
        <f t="shared" si="35"/>
        <v>0</v>
      </c>
      <c r="AE27" s="75">
        <f t="shared" si="33"/>
        <v>0</v>
      </c>
      <c r="AF27" s="62"/>
    </row>
    <row r="28" spans="1:32" ht="16.5" hidden="1" x14ac:dyDescent="0.25">
      <c r="A28" s="90"/>
      <c r="B28" s="91"/>
      <c r="C28" s="91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  <c r="R28" s="92"/>
      <c r="S28" s="92"/>
      <c r="T28" s="95"/>
      <c r="U28" s="96"/>
      <c r="V28" s="96"/>
      <c r="W28" s="96"/>
      <c r="X28" s="96"/>
      <c r="Y28" s="96"/>
      <c r="Z28" s="96"/>
      <c r="AA28" s="121"/>
      <c r="AB28" s="121"/>
      <c r="AC28" s="121"/>
      <c r="AD28" s="121"/>
      <c r="AE28" s="121"/>
      <c r="AF28" s="62"/>
    </row>
    <row r="29" spans="1:32" ht="16.5" hidden="1" x14ac:dyDescent="0.25">
      <c r="A29" s="129" t="s">
        <v>42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18"/>
      <c r="AA29" s="118"/>
      <c r="AB29" s="118"/>
      <c r="AC29" s="118"/>
      <c r="AD29" s="118"/>
      <c r="AE29" s="118"/>
      <c r="AF29" s="62"/>
    </row>
    <row r="30" spans="1:32" ht="28.5" hidden="1" x14ac:dyDescent="0.25">
      <c r="A30" s="76">
        <v>53260</v>
      </c>
      <c r="B30" s="77" t="s">
        <v>34</v>
      </c>
      <c r="C30" s="78" t="s">
        <v>5</v>
      </c>
      <c r="D30" s="79">
        <v>1.7</v>
      </c>
      <c r="E30" s="80">
        <v>1093.1379999999999</v>
      </c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>
        <f t="shared" ref="Q30:Q34" si="37">(SUM(F30:P30)/E30)</f>
        <v>0</v>
      </c>
      <c r="R30" s="79"/>
      <c r="S30" s="80">
        <f>(R30+D30)*E30+0.005</f>
        <v>1858.3396</v>
      </c>
      <c r="T30" s="82">
        <v>0.33329999999999999</v>
      </c>
      <c r="U30" s="83">
        <f t="shared" ref="U30:U34" si="38">F30*D30</f>
        <v>0</v>
      </c>
      <c r="V30" s="83">
        <f>G30*D30</f>
        <v>0</v>
      </c>
      <c r="W30" s="83">
        <f t="shared" ref="W30:AB34" si="39">H30*$D30</f>
        <v>0</v>
      </c>
      <c r="X30" s="83">
        <f t="shared" si="39"/>
        <v>0</v>
      </c>
      <c r="Y30" s="83">
        <f t="shared" si="39"/>
        <v>0</v>
      </c>
      <c r="Z30" s="83">
        <f t="shared" si="39"/>
        <v>0</v>
      </c>
      <c r="AA30" s="83">
        <f t="shared" si="39"/>
        <v>0</v>
      </c>
      <c r="AB30" s="83">
        <f t="shared" si="39"/>
        <v>0</v>
      </c>
      <c r="AC30" s="83">
        <f t="shared" ref="AC30:AD34" si="40">N30*$D30</f>
        <v>0</v>
      </c>
      <c r="AD30" s="83">
        <f t="shared" si="40"/>
        <v>0</v>
      </c>
      <c r="AE30" s="83">
        <f>P30*$D30</f>
        <v>0</v>
      </c>
      <c r="AF30" s="62"/>
    </row>
    <row r="31" spans="1:32" ht="16.5" hidden="1" x14ac:dyDescent="0.25">
      <c r="A31" s="76">
        <v>53520</v>
      </c>
      <c r="B31" s="77" t="s">
        <v>6</v>
      </c>
      <c r="C31" s="78" t="s">
        <v>7</v>
      </c>
      <c r="D31" s="79">
        <v>13.88</v>
      </c>
      <c r="E31" s="80">
        <v>371.94</v>
      </c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1">
        <f t="shared" si="37"/>
        <v>0</v>
      </c>
      <c r="R31" s="79"/>
      <c r="S31" s="80">
        <f>(R31+D31)*E31+0.005</f>
        <v>5162.5322000000006</v>
      </c>
      <c r="T31" s="82">
        <v>0.33329999999999999</v>
      </c>
      <c r="U31" s="83">
        <f t="shared" si="38"/>
        <v>0</v>
      </c>
      <c r="V31" s="83">
        <f>G31*D31</f>
        <v>0</v>
      </c>
      <c r="W31" s="83">
        <f t="shared" si="39"/>
        <v>0</v>
      </c>
      <c r="X31" s="83">
        <f t="shared" si="39"/>
        <v>0</v>
      </c>
      <c r="Y31" s="83">
        <f t="shared" si="39"/>
        <v>0</v>
      </c>
      <c r="Z31" s="83">
        <f t="shared" si="39"/>
        <v>0</v>
      </c>
      <c r="AA31" s="83">
        <f t="shared" si="39"/>
        <v>0</v>
      </c>
      <c r="AB31" s="83">
        <f t="shared" si="39"/>
        <v>0</v>
      </c>
      <c r="AC31" s="83">
        <f t="shared" si="40"/>
        <v>0</v>
      </c>
      <c r="AD31" s="83">
        <f t="shared" si="40"/>
        <v>0</v>
      </c>
      <c r="AE31" s="83">
        <f t="shared" ref="AE31" si="41">P31*$D31</f>
        <v>0</v>
      </c>
      <c r="AF31" s="62"/>
    </row>
    <row r="32" spans="1:32" ht="16.5" hidden="1" x14ac:dyDescent="0.25">
      <c r="A32" s="76">
        <v>52145</v>
      </c>
      <c r="B32" s="77" t="s">
        <v>8</v>
      </c>
      <c r="C32" s="78" t="s">
        <v>5</v>
      </c>
      <c r="D32" s="79">
        <v>32.590000000000003</v>
      </c>
      <c r="E32" s="80">
        <v>1093.1379999999999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>
        <f t="shared" si="37"/>
        <v>0</v>
      </c>
      <c r="R32" s="79"/>
      <c r="S32" s="80">
        <f>(R32+D32)*E32+0.07</f>
        <v>35625.437420000002</v>
      </c>
      <c r="T32" s="82">
        <v>0.33329999999999999</v>
      </c>
      <c r="U32" s="83">
        <f t="shared" si="38"/>
        <v>0</v>
      </c>
      <c r="V32" s="83">
        <f>G32*D32</f>
        <v>0</v>
      </c>
      <c r="W32" s="83">
        <f t="shared" si="39"/>
        <v>0</v>
      </c>
      <c r="X32" s="83">
        <f t="shared" si="39"/>
        <v>0</v>
      </c>
      <c r="Y32" s="83">
        <f t="shared" si="39"/>
        <v>0</v>
      </c>
      <c r="Z32" s="83">
        <f t="shared" si="39"/>
        <v>0</v>
      </c>
      <c r="AA32" s="83">
        <f t="shared" si="39"/>
        <v>0</v>
      </c>
      <c r="AB32" s="83">
        <f t="shared" si="39"/>
        <v>0</v>
      </c>
      <c r="AC32" s="83">
        <f t="shared" si="40"/>
        <v>0</v>
      </c>
      <c r="AD32" s="83">
        <f t="shared" si="40"/>
        <v>0</v>
      </c>
      <c r="AE32" s="83">
        <f>P32*$D32</f>
        <v>0</v>
      </c>
      <c r="AF32" s="62"/>
    </row>
    <row r="33" spans="1:32" ht="16.5" hidden="1" x14ac:dyDescent="0.25">
      <c r="A33" s="76">
        <v>53265</v>
      </c>
      <c r="B33" s="77" t="s">
        <v>35</v>
      </c>
      <c r="C33" s="78" t="s">
        <v>5</v>
      </c>
      <c r="D33" s="79">
        <v>1.02</v>
      </c>
      <c r="E33" s="80">
        <v>1204.72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1">
        <f t="shared" si="37"/>
        <v>0</v>
      </c>
      <c r="R33" s="79"/>
      <c r="S33" s="80">
        <f>(R33+D33)*E33+0.005</f>
        <v>1228.8194000000001</v>
      </c>
      <c r="T33" s="82">
        <v>0.33329999999999999</v>
      </c>
      <c r="U33" s="83">
        <f t="shared" si="38"/>
        <v>0</v>
      </c>
      <c r="V33" s="83">
        <f>G33*D33</f>
        <v>0</v>
      </c>
      <c r="W33" s="83">
        <f t="shared" si="39"/>
        <v>0</v>
      </c>
      <c r="X33" s="83">
        <f t="shared" si="39"/>
        <v>0</v>
      </c>
      <c r="Y33" s="83">
        <f t="shared" si="39"/>
        <v>0</v>
      </c>
      <c r="Z33" s="83">
        <f t="shared" si="39"/>
        <v>0</v>
      </c>
      <c r="AA33" s="83">
        <f t="shared" si="39"/>
        <v>0</v>
      </c>
      <c r="AB33" s="83">
        <f t="shared" si="39"/>
        <v>0</v>
      </c>
      <c r="AC33" s="83">
        <f t="shared" si="40"/>
        <v>0</v>
      </c>
      <c r="AD33" s="83">
        <f t="shared" si="40"/>
        <v>0</v>
      </c>
      <c r="AE33" s="83">
        <f>P33*$D33</f>
        <v>0</v>
      </c>
      <c r="AF33" s="62"/>
    </row>
    <row r="34" spans="1:32" ht="16.5" hidden="1" x14ac:dyDescent="0.25">
      <c r="A34" s="84">
        <v>57510</v>
      </c>
      <c r="B34" s="85" t="s">
        <v>9</v>
      </c>
      <c r="C34" s="86" t="s">
        <v>5</v>
      </c>
      <c r="D34" s="87">
        <v>1.93</v>
      </c>
      <c r="E34" s="88">
        <v>371.94</v>
      </c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1">
        <f t="shared" si="37"/>
        <v>0</v>
      </c>
      <c r="R34" s="87"/>
      <c r="S34" s="88">
        <f>(R34+D34)*E34+0.005</f>
        <v>717.8492</v>
      </c>
      <c r="T34" s="89">
        <v>0.33329999999999999</v>
      </c>
      <c r="U34" s="83">
        <f t="shared" si="38"/>
        <v>0</v>
      </c>
      <c r="V34" s="83">
        <f>G34*D34</f>
        <v>0</v>
      </c>
      <c r="W34" s="83">
        <f t="shared" si="39"/>
        <v>0</v>
      </c>
      <c r="X34" s="83">
        <f t="shared" si="39"/>
        <v>0</v>
      </c>
      <c r="Y34" s="83">
        <f t="shared" si="39"/>
        <v>0</v>
      </c>
      <c r="Z34" s="83">
        <f t="shared" si="39"/>
        <v>0</v>
      </c>
      <c r="AA34" s="83">
        <f t="shared" si="39"/>
        <v>0</v>
      </c>
      <c r="AB34" s="83">
        <f t="shared" si="39"/>
        <v>0</v>
      </c>
      <c r="AC34" s="83">
        <f t="shared" si="40"/>
        <v>0</v>
      </c>
      <c r="AD34" s="83">
        <f t="shared" si="40"/>
        <v>0</v>
      </c>
      <c r="AE34" s="83">
        <f>P34*$D34</f>
        <v>0</v>
      </c>
      <c r="AF34" s="62"/>
    </row>
    <row r="35" spans="1:32" ht="16.5" hidden="1" x14ac:dyDescent="0.25">
      <c r="A35" s="69"/>
      <c r="B35" s="70" t="s">
        <v>43</v>
      </c>
      <c r="C35" s="70"/>
      <c r="D35" s="7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3">
        <f>(SUM(U35:AE35))/S35</f>
        <v>0</v>
      </c>
      <c r="R35" s="71"/>
      <c r="S35" s="71">
        <f>SUM(S30:S34)</f>
        <v>44592.97782</v>
      </c>
      <c r="T35" s="74"/>
      <c r="U35" s="75">
        <f t="shared" ref="U35:Y35" si="42">SUM(U30:U34)</f>
        <v>0</v>
      </c>
      <c r="V35" s="75">
        <f t="shared" si="42"/>
        <v>0</v>
      </c>
      <c r="W35" s="75">
        <f t="shared" si="42"/>
        <v>0</v>
      </c>
      <c r="X35" s="75">
        <f t="shared" si="42"/>
        <v>0</v>
      </c>
      <c r="Y35" s="75">
        <f t="shared" si="42"/>
        <v>0</v>
      </c>
      <c r="Z35" s="75">
        <f t="shared" ref="Z35:AA35" si="43">SUM(Z30:Z34)</f>
        <v>0</v>
      </c>
      <c r="AA35" s="75">
        <f t="shared" si="43"/>
        <v>0</v>
      </c>
      <c r="AB35" s="75">
        <f t="shared" ref="AB35:AD35" si="44">SUM(AB30:AB34)</f>
        <v>0</v>
      </c>
      <c r="AC35" s="75">
        <f t="shared" ref="AC35" si="45">SUM(AC30:AC34)</f>
        <v>0</v>
      </c>
      <c r="AD35" s="75">
        <f t="shared" si="44"/>
        <v>0</v>
      </c>
      <c r="AE35" s="75">
        <f>SUM(AE30:AE34)</f>
        <v>0</v>
      </c>
      <c r="AF35" s="62"/>
    </row>
    <row r="36" spans="1:32" ht="17.25" thickBot="1" x14ac:dyDescent="0.3">
      <c r="A36" s="106"/>
      <c r="B36" s="106"/>
      <c r="C36" s="106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  <c r="R36" s="107"/>
      <c r="S36" s="107"/>
      <c r="T36" s="110"/>
      <c r="U36" s="107"/>
      <c r="V36" s="107"/>
      <c r="W36" s="107"/>
      <c r="X36" s="107"/>
      <c r="Y36" s="96"/>
      <c r="Z36" s="96"/>
      <c r="AA36" s="96"/>
      <c r="AB36" s="96"/>
      <c r="AC36" s="96"/>
      <c r="AD36" s="96"/>
      <c r="AE36" s="96"/>
      <c r="AF36" s="62"/>
    </row>
    <row r="37" spans="1:32" ht="17.25" thickBot="1" x14ac:dyDescent="0.3">
      <c r="A37" s="97"/>
      <c r="B37" s="98" t="s">
        <v>71</v>
      </c>
      <c r="C37" s="111"/>
      <c r="D37" s="112"/>
      <c r="E37" s="113"/>
      <c r="F37" s="113"/>
      <c r="G37" s="113"/>
      <c r="H37" s="113"/>
      <c r="I37" s="114"/>
      <c r="J37" s="100"/>
      <c r="K37" s="100"/>
      <c r="L37" s="100"/>
      <c r="M37" s="100"/>
      <c r="N37" s="100"/>
      <c r="O37" s="100"/>
      <c r="P37" s="100"/>
      <c r="Q37" s="101">
        <f>W38/S38</f>
        <v>7.7521271073031153E-2</v>
      </c>
      <c r="R37" s="99"/>
      <c r="S37" s="99"/>
      <c r="T37" s="115"/>
      <c r="U37" s="112"/>
      <c r="V37" s="112"/>
      <c r="W37" s="112"/>
      <c r="X37" s="116"/>
      <c r="Y37" s="102"/>
      <c r="Z37" s="102"/>
      <c r="AA37" s="102"/>
      <c r="AB37" s="102"/>
      <c r="AC37" s="102"/>
      <c r="AD37" s="102"/>
      <c r="AE37" s="102"/>
      <c r="AF37" s="62"/>
    </row>
    <row r="38" spans="1:32" ht="18.75" thickBot="1" x14ac:dyDescent="0.3">
      <c r="A38" s="124" t="s">
        <v>10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6"/>
      <c r="S38" s="103">
        <v>50499</v>
      </c>
      <c r="T38" s="104"/>
      <c r="U38" s="7">
        <f t="shared" ref="U38:AE39" si="46">U27+U11+U19+U35</f>
        <v>24154.787790099996</v>
      </c>
      <c r="V38" s="7">
        <f t="shared" si="46"/>
        <v>21075.369214095997</v>
      </c>
      <c r="W38" s="7">
        <f t="shared" si="46"/>
        <v>3914.7466679170002</v>
      </c>
      <c r="X38" s="7">
        <f t="shared" si="46"/>
        <v>0</v>
      </c>
      <c r="Y38" s="7">
        <f t="shared" si="46"/>
        <v>0</v>
      </c>
      <c r="Z38" s="7">
        <f t="shared" ref="Z38:AA38" si="47">Z27+Z11+Z19+Z35</f>
        <v>0</v>
      </c>
      <c r="AA38" s="7">
        <f t="shared" si="47"/>
        <v>0</v>
      </c>
      <c r="AB38" s="7">
        <f t="shared" ref="AB38:AD38" si="48">AB27+AB11+AB19+AB35</f>
        <v>0</v>
      </c>
      <c r="AC38" s="7">
        <f t="shared" ref="AC38" si="49">AC27+AC11+AC19+AC35</f>
        <v>0</v>
      </c>
      <c r="AD38" s="7">
        <f t="shared" si="48"/>
        <v>0</v>
      </c>
      <c r="AE38" s="7">
        <f t="shared" si="46"/>
        <v>0</v>
      </c>
      <c r="AF38" s="62">
        <f t="shared" si="11"/>
        <v>49144.903672112996</v>
      </c>
    </row>
    <row r="39" spans="1:32" ht="18.75" thickBot="1" x14ac:dyDescent="0.3">
      <c r="A39" s="124" t="s">
        <v>72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6"/>
      <c r="S39" s="103"/>
      <c r="T39" s="104"/>
      <c r="U39" s="7">
        <f t="shared" si="46"/>
        <v>0</v>
      </c>
      <c r="V39" s="7">
        <f t="shared" si="46"/>
        <v>0</v>
      </c>
      <c r="W39" s="7">
        <f>W38+S38</f>
        <v>54413.746667917003</v>
      </c>
    </row>
    <row r="40" spans="1:32" ht="54.75" customHeight="1" x14ac:dyDescent="0.25">
      <c r="Q40" s="123"/>
    </row>
    <row r="41" spans="1:32" ht="30.75" customHeight="1" x14ac:dyDescent="0.25">
      <c r="B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32" x14ac:dyDescent="0.25">
      <c r="B42" s="11" t="s">
        <v>11</v>
      </c>
      <c r="D42" s="63" t="s">
        <v>65</v>
      </c>
      <c r="T42" s="10"/>
      <c r="U42" s="105">
        <f t="shared" ref="U42:Z42" ca="1" si="50">TODAY()</f>
        <v>45618</v>
      </c>
      <c r="V42" s="105">
        <f t="shared" ca="1" si="50"/>
        <v>45618</v>
      </c>
      <c r="W42" s="105">
        <f t="shared" ca="1" si="50"/>
        <v>45618</v>
      </c>
      <c r="X42" s="105">
        <f t="shared" ca="1" si="50"/>
        <v>45618</v>
      </c>
      <c r="Y42" s="122">
        <f t="shared" ca="1" si="50"/>
        <v>45618</v>
      </c>
      <c r="Z42" s="122">
        <f t="shared" ca="1" si="50"/>
        <v>45618</v>
      </c>
      <c r="AB42" s="122">
        <f ca="1">TODAY()</f>
        <v>45618</v>
      </c>
      <c r="AC42" s="122">
        <f ca="1">TODAY()</f>
        <v>45618</v>
      </c>
      <c r="AD42" s="122">
        <f ca="1">TODAY()</f>
        <v>45618</v>
      </c>
      <c r="AE42" s="122">
        <f ca="1">TODAY()</f>
        <v>45618</v>
      </c>
    </row>
    <row r="44" spans="1:32" s="12" customFormat="1" ht="12.75" x14ac:dyDescent="0.2">
      <c r="A44" s="13"/>
      <c r="B44" s="13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</sheetData>
  <mergeCells count="8">
    <mergeCell ref="A39:R39"/>
    <mergeCell ref="A38:R38"/>
    <mergeCell ref="A2:Y2"/>
    <mergeCell ref="A1:Y1"/>
    <mergeCell ref="A21:Y21"/>
    <mergeCell ref="A13:Y13"/>
    <mergeCell ref="A5:Y5"/>
    <mergeCell ref="A29:Y29"/>
  </mergeCells>
  <printOptions horizontalCentered="1" verticalCentered="1"/>
  <pageMargins left="0.70866141732283472" right="0.70866141732283472" top="0.55118110236220474" bottom="0.55118110236220474" header="0.11811023622047245" footer="0.11811023622047245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43CF-ED2D-4D3C-95C8-5AED6F94DB54}">
  <dimension ref="A1:S25"/>
  <sheetViews>
    <sheetView zoomScaleNormal="100" workbookViewId="0">
      <selection activeCell="I26" sqref="I26"/>
    </sheetView>
  </sheetViews>
  <sheetFormatPr defaultRowHeight="12.75" x14ac:dyDescent="0.2"/>
  <cols>
    <col min="1" max="1" width="14" style="12" customWidth="1"/>
    <col min="2" max="2" width="55.5703125" style="12" customWidth="1"/>
    <col min="3" max="3" width="13.42578125" style="12" bestFit="1" customWidth="1"/>
    <col min="4" max="4" width="9.140625" style="12"/>
    <col min="5" max="5" width="12.85546875" style="12" bestFit="1" customWidth="1"/>
    <col min="6" max="6" width="12.5703125" style="12" customWidth="1"/>
    <col min="7" max="7" width="12.7109375" style="12" customWidth="1"/>
    <col min="8" max="8" width="12.42578125" style="12" customWidth="1"/>
    <col min="9" max="9" width="12.7109375" style="12" customWidth="1"/>
    <col min="10" max="11" width="12.42578125" style="12" customWidth="1"/>
    <col min="12" max="12" width="12.7109375" style="12" customWidth="1"/>
    <col min="13" max="14" width="12.42578125" style="12" customWidth="1"/>
    <col min="15" max="15" width="12.7109375" style="12" customWidth="1"/>
    <col min="16" max="16" width="12.42578125" style="12" customWidth="1"/>
    <col min="17" max="18" width="12.7109375" style="12" customWidth="1"/>
    <col min="19" max="19" width="12.85546875" style="12" bestFit="1" customWidth="1"/>
    <col min="20" max="258" width="9.140625" style="12"/>
    <col min="259" max="259" width="14" style="12" customWidth="1"/>
    <col min="260" max="260" width="93.5703125" style="12" customWidth="1"/>
    <col min="261" max="261" width="13.42578125" style="12" bestFit="1" customWidth="1"/>
    <col min="262" max="262" width="9.140625" style="12"/>
    <col min="263" max="263" width="13.140625" style="12" customWidth="1"/>
    <col min="264" max="264" width="12.85546875" style="12" bestFit="1" customWidth="1"/>
    <col min="265" max="265" width="12.5703125" style="12" customWidth="1"/>
    <col min="266" max="266" width="12.7109375" style="12" customWidth="1"/>
    <col min="267" max="267" width="12.42578125" style="12" customWidth="1"/>
    <col min="268" max="268" width="12.7109375" style="12" customWidth="1"/>
    <col min="269" max="270" width="12.42578125" style="12" customWidth="1"/>
    <col min="271" max="271" width="12.7109375" style="12" customWidth="1"/>
    <col min="272" max="272" width="12.42578125" style="12" customWidth="1"/>
    <col min="273" max="274" width="12.7109375" style="12" customWidth="1"/>
    <col min="275" max="275" width="12.85546875" style="12" bestFit="1" customWidth="1"/>
    <col min="276" max="514" width="9.140625" style="12"/>
    <col min="515" max="515" width="14" style="12" customWidth="1"/>
    <col min="516" max="516" width="93.5703125" style="12" customWidth="1"/>
    <col min="517" max="517" width="13.42578125" style="12" bestFit="1" customWidth="1"/>
    <col min="518" max="518" width="9.140625" style="12"/>
    <col min="519" max="519" width="13.140625" style="12" customWidth="1"/>
    <col min="520" max="520" width="12.85546875" style="12" bestFit="1" customWidth="1"/>
    <col min="521" max="521" width="12.5703125" style="12" customWidth="1"/>
    <col min="522" max="522" width="12.7109375" style="12" customWidth="1"/>
    <col min="523" max="523" width="12.42578125" style="12" customWidth="1"/>
    <col min="524" max="524" width="12.7109375" style="12" customWidth="1"/>
    <col min="525" max="526" width="12.42578125" style="12" customWidth="1"/>
    <col min="527" max="527" width="12.7109375" style="12" customWidth="1"/>
    <col min="528" max="528" width="12.42578125" style="12" customWidth="1"/>
    <col min="529" max="530" width="12.7109375" style="12" customWidth="1"/>
    <col min="531" max="531" width="12.85546875" style="12" bestFit="1" customWidth="1"/>
    <col min="532" max="770" width="9.140625" style="12"/>
    <col min="771" max="771" width="14" style="12" customWidth="1"/>
    <col min="772" max="772" width="93.5703125" style="12" customWidth="1"/>
    <col min="773" max="773" width="13.42578125" style="12" bestFit="1" customWidth="1"/>
    <col min="774" max="774" width="9.140625" style="12"/>
    <col min="775" max="775" width="13.140625" style="12" customWidth="1"/>
    <col min="776" max="776" width="12.85546875" style="12" bestFit="1" customWidth="1"/>
    <col min="777" max="777" width="12.5703125" style="12" customWidth="1"/>
    <col min="778" max="778" width="12.7109375" style="12" customWidth="1"/>
    <col min="779" max="779" width="12.42578125" style="12" customWidth="1"/>
    <col min="780" max="780" width="12.7109375" style="12" customWidth="1"/>
    <col min="781" max="782" width="12.42578125" style="12" customWidth="1"/>
    <col min="783" max="783" width="12.7109375" style="12" customWidth="1"/>
    <col min="784" max="784" width="12.42578125" style="12" customWidth="1"/>
    <col min="785" max="786" width="12.7109375" style="12" customWidth="1"/>
    <col min="787" max="787" width="12.85546875" style="12" bestFit="1" customWidth="1"/>
    <col min="788" max="1026" width="9.140625" style="12"/>
    <col min="1027" max="1027" width="14" style="12" customWidth="1"/>
    <col min="1028" max="1028" width="93.5703125" style="12" customWidth="1"/>
    <col min="1029" max="1029" width="13.42578125" style="12" bestFit="1" customWidth="1"/>
    <col min="1030" max="1030" width="9.140625" style="12"/>
    <col min="1031" max="1031" width="13.140625" style="12" customWidth="1"/>
    <col min="1032" max="1032" width="12.85546875" style="12" bestFit="1" customWidth="1"/>
    <col min="1033" max="1033" width="12.5703125" style="12" customWidth="1"/>
    <col min="1034" max="1034" width="12.7109375" style="12" customWidth="1"/>
    <col min="1035" max="1035" width="12.42578125" style="12" customWidth="1"/>
    <col min="1036" max="1036" width="12.7109375" style="12" customWidth="1"/>
    <col min="1037" max="1038" width="12.42578125" style="12" customWidth="1"/>
    <col min="1039" max="1039" width="12.7109375" style="12" customWidth="1"/>
    <col min="1040" max="1040" width="12.42578125" style="12" customWidth="1"/>
    <col min="1041" max="1042" width="12.7109375" style="12" customWidth="1"/>
    <col min="1043" max="1043" width="12.85546875" style="12" bestFit="1" customWidth="1"/>
    <col min="1044" max="1282" width="9.140625" style="12"/>
    <col min="1283" max="1283" width="14" style="12" customWidth="1"/>
    <col min="1284" max="1284" width="93.5703125" style="12" customWidth="1"/>
    <col min="1285" max="1285" width="13.42578125" style="12" bestFit="1" customWidth="1"/>
    <col min="1286" max="1286" width="9.140625" style="12"/>
    <col min="1287" max="1287" width="13.140625" style="12" customWidth="1"/>
    <col min="1288" max="1288" width="12.85546875" style="12" bestFit="1" customWidth="1"/>
    <col min="1289" max="1289" width="12.5703125" style="12" customWidth="1"/>
    <col min="1290" max="1290" width="12.7109375" style="12" customWidth="1"/>
    <col min="1291" max="1291" width="12.42578125" style="12" customWidth="1"/>
    <col min="1292" max="1292" width="12.7109375" style="12" customWidth="1"/>
    <col min="1293" max="1294" width="12.42578125" style="12" customWidth="1"/>
    <col min="1295" max="1295" width="12.7109375" style="12" customWidth="1"/>
    <col min="1296" max="1296" width="12.42578125" style="12" customWidth="1"/>
    <col min="1297" max="1298" width="12.7109375" style="12" customWidth="1"/>
    <col min="1299" max="1299" width="12.85546875" style="12" bestFit="1" customWidth="1"/>
    <col min="1300" max="1538" width="9.140625" style="12"/>
    <col min="1539" max="1539" width="14" style="12" customWidth="1"/>
    <col min="1540" max="1540" width="93.5703125" style="12" customWidth="1"/>
    <col min="1541" max="1541" width="13.42578125" style="12" bestFit="1" customWidth="1"/>
    <col min="1542" max="1542" width="9.140625" style="12"/>
    <col min="1543" max="1543" width="13.140625" style="12" customWidth="1"/>
    <col min="1544" max="1544" width="12.85546875" style="12" bestFit="1" customWidth="1"/>
    <col min="1545" max="1545" width="12.5703125" style="12" customWidth="1"/>
    <col min="1546" max="1546" width="12.7109375" style="12" customWidth="1"/>
    <col min="1547" max="1547" width="12.42578125" style="12" customWidth="1"/>
    <col min="1548" max="1548" width="12.7109375" style="12" customWidth="1"/>
    <col min="1549" max="1550" width="12.42578125" style="12" customWidth="1"/>
    <col min="1551" max="1551" width="12.7109375" style="12" customWidth="1"/>
    <col min="1552" max="1552" width="12.42578125" style="12" customWidth="1"/>
    <col min="1553" max="1554" width="12.7109375" style="12" customWidth="1"/>
    <col min="1555" max="1555" width="12.85546875" style="12" bestFit="1" customWidth="1"/>
    <col min="1556" max="1794" width="9.140625" style="12"/>
    <col min="1795" max="1795" width="14" style="12" customWidth="1"/>
    <col min="1796" max="1796" width="93.5703125" style="12" customWidth="1"/>
    <col min="1797" max="1797" width="13.42578125" style="12" bestFit="1" customWidth="1"/>
    <col min="1798" max="1798" width="9.140625" style="12"/>
    <col min="1799" max="1799" width="13.140625" style="12" customWidth="1"/>
    <col min="1800" max="1800" width="12.85546875" style="12" bestFit="1" customWidth="1"/>
    <col min="1801" max="1801" width="12.5703125" style="12" customWidth="1"/>
    <col min="1802" max="1802" width="12.7109375" style="12" customWidth="1"/>
    <col min="1803" max="1803" width="12.42578125" style="12" customWidth="1"/>
    <col min="1804" max="1804" width="12.7109375" style="12" customWidth="1"/>
    <col min="1805" max="1806" width="12.42578125" style="12" customWidth="1"/>
    <col min="1807" max="1807" width="12.7109375" style="12" customWidth="1"/>
    <col min="1808" max="1808" width="12.42578125" style="12" customWidth="1"/>
    <col min="1809" max="1810" width="12.7109375" style="12" customWidth="1"/>
    <col min="1811" max="1811" width="12.85546875" style="12" bestFit="1" customWidth="1"/>
    <col min="1812" max="2050" width="9.140625" style="12"/>
    <col min="2051" max="2051" width="14" style="12" customWidth="1"/>
    <col min="2052" max="2052" width="93.5703125" style="12" customWidth="1"/>
    <col min="2053" max="2053" width="13.42578125" style="12" bestFit="1" customWidth="1"/>
    <col min="2054" max="2054" width="9.140625" style="12"/>
    <col min="2055" max="2055" width="13.140625" style="12" customWidth="1"/>
    <col min="2056" max="2056" width="12.85546875" style="12" bestFit="1" customWidth="1"/>
    <col min="2057" max="2057" width="12.5703125" style="12" customWidth="1"/>
    <col min="2058" max="2058" width="12.7109375" style="12" customWidth="1"/>
    <col min="2059" max="2059" width="12.42578125" style="12" customWidth="1"/>
    <col min="2060" max="2060" width="12.7109375" style="12" customWidth="1"/>
    <col min="2061" max="2062" width="12.42578125" style="12" customWidth="1"/>
    <col min="2063" max="2063" width="12.7109375" style="12" customWidth="1"/>
    <col min="2064" max="2064" width="12.42578125" style="12" customWidth="1"/>
    <col min="2065" max="2066" width="12.7109375" style="12" customWidth="1"/>
    <col min="2067" max="2067" width="12.85546875" style="12" bestFit="1" customWidth="1"/>
    <col min="2068" max="2306" width="9.140625" style="12"/>
    <col min="2307" max="2307" width="14" style="12" customWidth="1"/>
    <col min="2308" max="2308" width="93.5703125" style="12" customWidth="1"/>
    <col min="2309" max="2309" width="13.42578125" style="12" bestFit="1" customWidth="1"/>
    <col min="2310" max="2310" width="9.140625" style="12"/>
    <col min="2311" max="2311" width="13.140625" style="12" customWidth="1"/>
    <col min="2312" max="2312" width="12.85546875" style="12" bestFit="1" customWidth="1"/>
    <col min="2313" max="2313" width="12.5703125" style="12" customWidth="1"/>
    <col min="2314" max="2314" width="12.7109375" style="12" customWidth="1"/>
    <col min="2315" max="2315" width="12.42578125" style="12" customWidth="1"/>
    <col min="2316" max="2316" width="12.7109375" style="12" customWidth="1"/>
    <col min="2317" max="2318" width="12.42578125" style="12" customWidth="1"/>
    <col min="2319" max="2319" width="12.7109375" style="12" customWidth="1"/>
    <col min="2320" max="2320" width="12.42578125" style="12" customWidth="1"/>
    <col min="2321" max="2322" width="12.7109375" style="12" customWidth="1"/>
    <col min="2323" max="2323" width="12.85546875" style="12" bestFit="1" customWidth="1"/>
    <col min="2324" max="2562" width="9.140625" style="12"/>
    <col min="2563" max="2563" width="14" style="12" customWidth="1"/>
    <col min="2564" max="2564" width="93.5703125" style="12" customWidth="1"/>
    <col min="2565" max="2565" width="13.42578125" style="12" bestFit="1" customWidth="1"/>
    <col min="2566" max="2566" width="9.140625" style="12"/>
    <col min="2567" max="2567" width="13.140625" style="12" customWidth="1"/>
    <col min="2568" max="2568" width="12.85546875" style="12" bestFit="1" customWidth="1"/>
    <col min="2569" max="2569" width="12.5703125" style="12" customWidth="1"/>
    <col min="2570" max="2570" width="12.7109375" style="12" customWidth="1"/>
    <col min="2571" max="2571" width="12.42578125" style="12" customWidth="1"/>
    <col min="2572" max="2572" width="12.7109375" style="12" customWidth="1"/>
    <col min="2573" max="2574" width="12.42578125" style="12" customWidth="1"/>
    <col min="2575" max="2575" width="12.7109375" style="12" customWidth="1"/>
    <col min="2576" max="2576" width="12.42578125" style="12" customWidth="1"/>
    <col min="2577" max="2578" width="12.7109375" style="12" customWidth="1"/>
    <col min="2579" max="2579" width="12.85546875" style="12" bestFit="1" customWidth="1"/>
    <col min="2580" max="2818" width="9.140625" style="12"/>
    <col min="2819" max="2819" width="14" style="12" customWidth="1"/>
    <col min="2820" max="2820" width="93.5703125" style="12" customWidth="1"/>
    <col min="2821" max="2821" width="13.42578125" style="12" bestFit="1" customWidth="1"/>
    <col min="2822" max="2822" width="9.140625" style="12"/>
    <col min="2823" max="2823" width="13.140625" style="12" customWidth="1"/>
    <col min="2824" max="2824" width="12.85546875" style="12" bestFit="1" customWidth="1"/>
    <col min="2825" max="2825" width="12.5703125" style="12" customWidth="1"/>
    <col min="2826" max="2826" width="12.7109375" style="12" customWidth="1"/>
    <col min="2827" max="2827" width="12.42578125" style="12" customWidth="1"/>
    <col min="2828" max="2828" width="12.7109375" style="12" customWidth="1"/>
    <col min="2829" max="2830" width="12.42578125" style="12" customWidth="1"/>
    <col min="2831" max="2831" width="12.7109375" style="12" customWidth="1"/>
    <col min="2832" max="2832" width="12.42578125" style="12" customWidth="1"/>
    <col min="2833" max="2834" width="12.7109375" style="12" customWidth="1"/>
    <col min="2835" max="2835" width="12.85546875" style="12" bestFit="1" customWidth="1"/>
    <col min="2836" max="3074" width="9.140625" style="12"/>
    <col min="3075" max="3075" width="14" style="12" customWidth="1"/>
    <col min="3076" max="3076" width="93.5703125" style="12" customWidth="1"/>
    <col min="3077" max="3077" width="13.42578125" style="12" bestFit="1" customWidth="1"/>
    <col min="3078" max="3078" width="9.140625" style="12"/>
    <col min="3079" max="3079" width="13.140625" style="12" customWidth="1"/>
    <col min="3080" max="3080" width="12.85546875" style="12" bestFit="1" customWidth="1"/>
    <col min="3081" max="3081" width="12.5703125" style="12" customWidth="1"/>
    <col min="3082" max="3082" width="12.7109375" style="12" customWidth="1"/>
    <col min="3083" max="3083" width="12.42578125" style="12" customWidth="1"/>
    <col min="3084" max="3084" width="12.7109375" style="12" customWidth="1"/>
    <col min="3085" max="3086" width="12.42578125" style="12" customWidth="1"/>
    <col min="3087" max="3087" width="12.7109375" style="12" customWidth="1"/>
    <col min="3088" max="3088" width="12.42578125" style="12" customWidth="1"/>
    <col min="3089" max="3090" width="12.7109375" style="12" customWidth="1"/>
    <col min="3091" max="3091" width="12.85546875" style="12" bestFit="1" customWidth="1"/>
    <col min="3092" max="3330" width="9.140625" style="12"/>
    <col min="3331" max="3331" width="14" style="12" customWidth="1"/>
    <col min="3332" max="3332" width="93.5703125" style="12" customWidth="1"/>
    <col min="3333" max="3333" width="13.42578125" style="12" bestFit="1" customWidth="1"/>
    <col min="3334" max="3334" width="9.140625" style="12"/>
    <col min="3335" max="3335" width="13.140625" style="12" customWidth="1"/>
    <col min="3336" max="3336" width="12.85546875" style="12" bestFit="1" customWidth="1"/>
    <col min="3337" max="3337" width="12.5703125" style="12" customWidth="1"/>
    <col min="3338" max="3338" width="12.7109375" style="12" customWidth="1"/>
    <col min="3339" max="3339" width="12.42578125" style="12" customWidth="1"/>
    <col min="3340" max="3340" width="12.7109375" style="12" customWidth="1"/>
    <col min="3341" max="3342" width="12.42578125" style="12" customWidth="1"/>
    <col min="3343" max="3343" width="12.7109375" style="12" customWidth="1"/>
    <col min="3344" max="3344" width="12.42578125" style="12" customWidth="1"/>
    <col min="3345" max="3346" width="12.7109375" style="12" customWidth="1"/>
    <col min="3347" max="3347" width="12.85546875" style="12" bestFit="1" customWidth="1"/>
    <col min="3348" max="3586" width="9.140625" style="12"/>
    <col min="3587" max="3587" width="14" style="12" customWidth="1"/>
    <col min="3588" max="3588" width="93.5703125" style="12" customWidth="1"/>
    <col min="3589" max="3589" width="13.42578125" style="12" bestFit="1" customWidth="1"/>
    <col min="3590" max="3590" width="9.140625" style="12"/>
    <col min="3591" max="3591" width="13.140625" style="12" customWidth="1"/>
    <col min="3592" max="3592" width="12.85546875" style="12" bestFit="1" customWidth="1"/>
    <col min="3593" max="3593" width="12.5703125" style="12" customWidth="1"/>
    <col min="3594" max="3594" width="12.7109375" style="12" customWidth="1"/>
    <col min="3595" max="3595" width="12.42578125" style="12" customWidth="1"/>
    <col min="3596" max="3596" width="12.7109375" style="12" customWidth="1"/>
    <col min="3597" max="3598" width="12.42578125" style="12" customWidth="1"/>
    <col min="3599" max="3599" width="12.7109375" style="12" customWidth="1"/>
    <col min="3600" max="3600" width="12.42578125" style="12" customWidth="1"/>
    <col min="3601" max="3602" width="12.7109375" style="12" customWidth="1"/>
    <col min="3603" max="3603" width="12.85546875" style="12" bestFit="1" customWidth="1"/>
    <col min="3604" max="3842" width="9.140625" style="12"/>
    <col min="3843" max="3843" width="14" style="12" customWidth="1"/>
    <col min="3844" max="3844" width="93.5703125" style="12" customWidth="1"/>
    <col min="3845" max="3845" width="13.42578125" style="12" bestFit="1" customWidth="1"/>
    <col min="3846" max="3846" width="9.140625" style="12"/>
    <col min="3847" max="3847" width="13.140625" style="12" customWidth="1"/>
    <col min="3848" max="3848" width="12.85546875" style="12" bestFit="1" customWidth="1"/>
    <col min="3849" max="3849" width="12.5703125" style="12" customWidth="1"/>
    <col min="3850" max="3850" width="12.7109375" style="12" customWidth="1"/>
    <col min="3851" max="3851" width="12.42578125" style="12" customWidth="1"/>
    <col min="3852" max="3852" width="12.7109375" style="12" customWidth="1"/>
    <col min="3853" max="3854" width="12.42578125" style="12" customWidth="1"/>
    <col min="3855" max="3855" width="12.7109375" style="12" customWidth="1"/>
    <col min="3856" max="3856" width="12.42578125" style="12" customWidth="1"/>
    <col min="3857" max="3858" width="12.7109375" style="12" customWidth="1"/>
    <col min="3859" max="3859" width="12.85546875" style="12" bestFit="1" customWidth="1"/>
    <col min="3860" max="4098" width="9.140625" style="12"/>
    <col min="4099" max="4099" width="14" style="12" customWidth="1"/>
    <col min="4100" max="4100" width="93.5703125" style="12" customWidth="1"/>
    <col min="4101" max="4101" width="13.42578125" style="12" bestFit="1" customWidth="1"/>
    <col min="4102" max="4102" width="9.140625" style="12"/>
    <col min="4103" max="4103" width="13.140625" style="12" customWidth="1"/>
    <col min="4104" max="4104" width="12.85546875" style="12" bestFit="1" customWidth="1"/>
    <col min="4105" max="4105" width="12.5703125" style="12" customWidth="1"/>
    <col min="4106" max="4106" width="12.7109375" style="12" customWidth="1"/>
    <col min="4107" max="4107" width="12.42578125" style="12" customWidth="1"/>
    <col min="4108" max="4108" width="12.7109375" style="12" customWidth="1"/>
    <col min="4109" max="4110" width="12.42578125" style="12" customWidth="1"/>
    <col min="4111" max="4111" width="12.7109375" style="12" customWidth="1"/>
    <col min="4112" max="4112" width="12.42578125" style="12" customWidth="1"/>
    <col min="4113" max="4114" width="12.7109375" style="12" customWidth="1"/>
    <col min="4115" max="4115" width="12.85546875" style="12" bestFit="1" customWidth="1"/>
    <col min="4116" max="4354" width="9.140625" style="12"/>
    <col min="4355" max="4355" width="14" style="12" customWidth="1"/>
    <col min="4356" max="4356" width="93.5703125" style="12" customWidth="1"/>
    <col min="4357" max="4357" width="13.42578125" style="12" bestFit="1" customWidth="1"/>
    <col min="4358" max="4358" width="9.140625" style="12"/>
    <col min="4359" max="4359" width="13.140625" style="12" customWidth="1"/>
    <col min="4360" max="4360" width="12.85546875" style="12" bestFit="1" customWidth="1"/>
    <col min="4361" max="4361" width="12.5703125" style="12" customWidth="1"/>
    <col min="4362" max="4362" width="12.7109375" style="12" customWidth="1"/>
    <col min="4363" max="4363" width="12.42578125" style="12" customWidth="1"/>
    <col min="4364" max="4364" width="12.7109375" style="12" customWidth="1"/>
    <col min="4365" max="4366" width="12.42578125" style="12" customWidth="1"/>
    <col min="4367" max="4367" width="12.7109375" style="12" customWidth="1"/>
    <col min="4368" max="4368" width="12.42578125" style="12" customWidth="1"/>
    <col min="4369" max="4370" width="12.7109375" style="12" customWidth="1"/>
    <col min="4371" max="4371" width="12.85546875" style="12" bestFit="1" customWidth="1"/>
    <col min="4372" max="4610" width="9.140625" style="12"/>
    <col min="4611" max="4611" width="14" style="12" customWidth="1"/>
    <col min="4612" max="4612" width="93.5703125" style="12" customWidth="1"/>
    <col min="4613" max="4613" width="13.42578125" style="12" bestFit="1" customWidth="1"/>
    <col min="4614" max="4614" width="9.140625" style="12"/>
    <col min="4615" max="4615" width="13.140625" style="12" customWidth="1"/>
    <col min="4616" max="4616" width="12.85546875" style="12" bestFit="1" customWidth="1"/>
    <col min="4617" max="4617" width="12.5703125" style="12" customWidth="1"/>
    <col min="4618" max="4618" width="12.7109375" style="12" customWidth="1"/>
    <col min="4619" max="4619" width="12.42578125" style="12" customWidth="1"/>
    <col min="4620" max="4620" width="12.7109375" style="12" customWidth="1"/>
    <col min="4621" max="4622" width="12.42578125" style="12" customWidth="1"/>
    <col min="4623" max="4623" width="12.7109375" style="12" customWidth="1"/>
    <col min="4624" max="4624" width="12.42578125" style="12" customWidth="1"/>
    <col min="4625" max="4626" width="12.7109375" style="12" customWidth="1"/>
    <col min="4627" max="4627" width="12.85546875" style="12" bestFit="1" customWidth="1"/>
    <col min="4628" max="4866" width="9.140625" style="12"/>
    <col min="4867" max="4867" width="14" style="12" customWidth="1"/>
    <col min="4868" max="4868" width="93.5703125" style="12" customWidth="1"/>
    <col min="4869" max="4869" width="13.42578125" style="12" bestFit="1" customWidth="1"/>
    <col min="4870" max="4870" width="9.140625" style="12"/>
    <col min="4871" max="4871" width="13.140625" style="12" customWidth="1"/>
    <col min="4872" max="4872" width="12.85546875" style="12" bestFit="1" customWidth="1"/>
    <col min="4873" max="4873" width="12.5703125" style="12" customWidth="1"/>
    <col min="4874" max="4874" width="12.7109375" style="12" customWidth="1"/>
    <col min="4875" max="4875" width="12.42578125" style="12" customWidth="1"/>
    <col min="4876" max="4876" width="12.7109375" style="12" customWidth="1"/>
    <col min="4877" max="4878" width="12.42578125" style="12" customWidth="1"/>
    <col min="4879" max="4879" width="12.7109375" style="12" customWidth="1"/>
    <col min="4880" max="4880" width="12.42578125" style="12" customWidth="1"/>
    <col min="4881" max="4882" width="12.7109375" style="12" customWidth="1"/>
    <col min="4883" max="4883" width="12.85546875" style="12" bestFit="1" customWidth="1"/>
    <col min="4884" max="5122" width="9.140625" style="12"/>
    <col min="5123" max="5123" width="14" style="12" customWidth="1"/>
    <col min="5124" max="5124" width="93.5703125" style="12" customWidth="1"/>
    <col min="5125" max="5125" width="13.42578125" style="12" bestFit="1" customWidth="1"/>
    <col min="5126" max="5126" width="9.140625" style="12"/>
    <col min="5127" max="5127" width="13.140625" style="12" customWidth="1"/>
    <col min="5128" max="5128" width="12.85546875" style="12" bestFit="1" customWidth="1"/>
    <col min="5129" max="5129" width="12.5703125" style="12" customWidth="1"/>
    <col min="5130" max="5130" width="12.7109375" style="12" customWidth="1"/>
    <col min="5131" max="5131" width="12.42578125" style="12" customWidth="1"/>
    <col min="5132" max="5132" width="12.7109375" style="12" customWidth="1"/>
    <col min="5133" max="5134" width="12.42578125" style="12" customWidth="1"/>
    <col min="5135" max="5135" width="12.7109375" style="12" customWidth="1"/>
    <col min="5136" max="5136" width="12.42578125" style="12" customWidth="1"/>
    <col min="5137" max="5138" width="12.7109375" style="12" customWidth="1"/>
    <col min="5139" max="5139" width="12.85546875" style="12" bestFit="1" customWidth="1"/>
    <col min="5140" max="5378" width="9.140625" style="12"/>
    <col min="5379" max="5379" width="14" style="12" customWidth="1"/>
    <col min="5380" max="5380" width="93.5703125" style="12" customWidth="1"/>
    <col min="5381" max="5381" width="13.42578125" style="12" bestFit="1" customWidth="1"/>
    <col min="5382" max="5382" width="9.140625" style="12"/>
    <col min="5383" max="5383" width="13.140625" style="12" customWidth="1"/>
    <col min="5384" max="5384" width="12.85546875" style="12" bestFit="1" customWidth="1"/>
    <col min="5385" max="5385" width="12.5703125" style="12" customWidth="1"/>
    <col min="5386" max="5386" width="12.7109375" style="12" customWidth="1"/>
    <col min="5387" max="5387" width="12.42578125" style="12" customWidth="1"/>
    <col min="5388" max="5388" width="12.7109375" style="12" customWidth="1"/>
    <col min="5389" max="5390" width="12.42578125" style="12" customWidth="1"/>
    <col min="5391" max="5391" width="12.7109375" style="12" customWidth="1"/>
    <col min="5392" max="5392" width="12.42578125" style="12" customWidth="1"/>
    <col min="5393" max="5394" width="12.7109375" style="12" customWidth="1"/>
    <col min="5395" max="5395" width="12.85546875" style="12" bestFit="1" customWidth="1"/>
    <col min="5396" max="5634" width="9.140625" style="12"/>
    <col min="5635" max="5635" width="14" style="12" customWidth="1"/>
    <col min="5636" max="5636" width="93.5703125" style="12" customWidth="1"/>
    <col min="5637" max="5637" width="13.42578125" style="12" bestFit="1" customWidth="1"/>
    <col min="5638" max="5638" width="9.140625" style="12"/>
    <col min="5639" max="5639" width="13.140625" style="12" customWidth="1"/>
    <col min="5640" max="5640" width="12.85546875" style="12" bestFit="1" customWidth="1"/>
    <col min="5641" max="5641" width="12.5703125" style="12" customWidth="1"/>
    <col min="5642" max="5642" width="12.7109375" style="12" customWidth="1"/>
    <col min="5643" max="5643" width="12.42578125" style="12" customWidth="1"/>
    <col min="5644" max="5644" width="12.7109375" style="12" customWidth="1"/>
    <col min="5645" max="5646" width="12.42578125" style="12" customWidth="1"/>
    <col min="5647" max="5647" width="12.7109375" style="12" customWidth="1"/>
    <col min="5648" max="5648" width="12.42578125" style="12" customWidth="1"/>
    <col min="5649" max="5650" width="12.7109375" style="12" customWidth="1"/>
    <col min="5651" max="5651" width="12.85546875" style="12" bestFit="1" customWidth="1"/>
    <col min="5652" max="5890" width="9.140625" style="12"/>
    <col min="5891" max="5891" width="14" style="12" customWidth="1"/>
    <col min="5892" max="5892" width="93.5703125" style="12" customWidth="1"/>
    <col min="5893" max="5893" width="13.42578125" style="12" bestFit="1" customWidth="1"/>
    <col min="5894" max="5894" width="9.140625" style="12"/>
    <col min="5895" max="5895" width="13.140625" style="12" customWidth="1"/>
    <col min="5896" max="5896" width="12.85546875" style="12" bestFit="1" customWidth="1"/>
    <col min="5897" max="5897" width="12.5703125" style="12" customWidth="1"/>
    <col min="5898" max="5898" width="12.7109375" style="12" customWidth="1"/>
    <col min="5899" max="5899" width="12.42578125" style="12" customWidth="1"/>
    <col min="5900" max="5900" width="12.7109375" style="12" customWidth="1"/>
    <col min="5901" max="5902" width="12.42578125" style="12" customWidth="1"/>
    <col min="5903" max="5903" width="12.7109375" style="12" customWidth="1"/>
    <col min="5904" max="5904" width="12.42578125" style="12" customWidth="1"/>
    <col min="5905" max="5906" width="12.7109375" style="12" customWidth="1"/>
    <col min="5907" max="5907" width="12.85546875" style="12" bestFit="1" customWidth="1"/>
    <col min="5908" max="6146" width="9.140625" style="12"/>
    <col min="6147" max="6147" width="14" style="12" customWidth="1"/>
    <col min="6148" max="6148" width="93.5703125" style="12" customWidth="1"/>
    <col min="6149" max="6149" width="13.42578125" style="12" bestFit="1" customWidth="1"/>
    <col min="6150" max="6150" width="9.140625" style="12"/>
    <col min="6151" max="6151" width="13.140625" style="12" customWidth="1"/>
    <col min="6152" max="6152" width="12.85546875" style="12" bestFit="1" customWidth="1"/>
    <col min="6153" max="6153" width="12.5703125" style="12" customWidth="1"/>
    <col min="6154" max="6154" width="12.7109375" style="12" customWidth="1"/>
    <col min="6155" max="6155" width="12.42578125" style="12" customWidth="1"/>
    <col min="6156" max="6156" width="12.7109375" style="12" customWidth="1"/>
    <col min="6157" max="6158" width="12.42578125" style="12" customWidth="1"/>
    <col min="6159" max="6159" width="12.7109375" style="12" customWidth="1"/>
    <col min="6160" max="6160" width="12.42578125" style="12" customWidth="1"/>
    <col min="6161" max="6162" width="12.7109375" style="12" customWidth="1"/>
    <col min="6163" max="6163" width="12.85546875" style="12" bestFit="1" customWidth="1"/>
    <col min="6164" max="6402" width="9.140625" style="12"/>
    <col min="6403" max="6403" width="14" style="12" customWidth="1"/>
    <col min="6404" max="6404" width="93.5703125" style="12" customWidth="1"/>
    <col min="6405" max="6405" width="13.42578125" style="12" bestFit="1" customWidth="1"/>
    <col min="6406" max="6406" width="9.140625" style="12"/>
    <col min="6407" max="6407" width="13.140625" style="12" customWidth="1"/>
    <col min="6408" max="6408" width="12.85546875" style="12" bestFit="1" customWidth="1"/>
    <col min="6409" max="6409" width="12.5703125" style="12" customWidth="1"/>
    <col min="6410" max="6410" width="12.7109375" style="12" customWidth="1"/>
    <col min="6411" max="6411" width="12.42578125" style="12" customWidth="1"/>
    <col min="6412" max="6412" width="12.7109375" style="12" customWidth="1"/>
    <col min="6413" max="6414" width="12.42578125" style="12" customWidth="1"/>
    <col min="6415" max="6415" width="12.7109375" style="12" customWidth="1"/>
    <col min="6416" max="6416" width="12.42578125" style="12" customWidth="1"/>
    <col min="6417" max="6418" width="12.7109375" style="12" customWidth="1"/>
    <col min="6419" max="6419" width="12.85546875" style="12" bestFit="1" customWidth="1"/>
    <col min="6420" max="6658" width="9.140625" style="12"/>
    <col min="6659" max="6659" width="14" style="12" customWidth="1"/>
    <col min="6660" max="6660" width="93.5703125" style="12" customWidth="1"/>
    <col min="6661" max="6661" width="13.42578125" style="12" bestFit="1" customWidth="1"/>
    <col min="6662" max="6662" width="9.140625" style="12"/>
    <col min="6663" max="6663" width="13.140625" style="12" customWidth="1"/>
    <col min="6664" max="6664" width="12.85546875" style="12" bestFit="1" customWidth="1"/>
    <col min="6665" max="6665" width="12.5703125" style="12" customWidth="1"/>
    <col min="6666" max="6666" width="12.7109375" style="12" customWidth="1"/>
    <col min="6667" max="6667" width="12.42578125" style="12" customWidth="1"/>
    <col min="6668" max="6668" width="12.7109375" style="12" customWidth="1"/>
    <col min="6669" max="6670" width="12.42578125" style="12" customWidth="1"/>
    <col min="6671" max="6671" width="12.7109375" style="12" customWidth="1"/>
    <col min="6672" max="6672" width="12.42578125" style="12" customWidth="1"/>
    <col min="6673" max="6674" width="12.7109375" style="12" customWidth="1"/>
    <col min="6675" max="6675" width="12.85546875" style="12" bestFit="1" customWidth="1"/>
    <col min="6676" max="6914" width="9.140625" style="12"/>
    <col min="6915" max="6915" width="14" style="12" customWidth="1"/>
    <col min="6916" max="6916" width="93.5703125" style="12" customWidth="1"/>
    <col min="6917" max="6917" width="13.42578125" style="12" bestFit="1" customWidth="1"/>
    <col min="6918" max="6918" width="9.140625" style="12"/>
    <col min="6919" max="6919" width="13.140625" style="12" customWidth="1"/>
    <col min="6920" max="6920" width="12.85546875" style="12" bestFit="1" customWidth="1"/>
    <col min="6921" max="6921" width="12.5703125" style="12" customWidth="1"/>
    <col min="6922" max="6922" width="12.7109375" style="12" customWidth="1"/>
    <col min="6923" max="6923" width="12.42578125" style="12" customWidth="1"/>
    <col min="6924" max="6924" width="12.7109375" style="12" customWidth="1"/>
    <col min="6925" max="6926" width="12.42578125" style="12" customWidth="1"/>
    <col min="6927" max="6927" width="12.7109375" style="12" customWidth="1"/>
    <col min="6928" max="6928" width="12.42578125" style="12" customWidth="1"/>
    <col min="6929" max="6930" width="12.7109375" style="12" customWidth="1"/>
    <col min="6931" max="6931" width="12.85546875" style="12" bestFit="1" customWidth="1"/>
    <col min="6932" max="7170" width="9.140625" style="12"/>
    <col min="7171" max="7171" width="14" style="12" customWidth="1"/>
    <col min="7172" max="7172" width="93.5703125" style="12" customWidth="1"/>
    <col min="7173" max="7173" width="13.42578125" style="12" bestFit="1" customWidth="1"/>
    <col min="7174" max="7174" width="9.140625" style="12"/>
    <col min="7175" max="7175" width="13.140625" style="12" customWidth="1"/>
    <col min="7176" max="7176" width="12.85546875" style="12" bestFit="1" customWidth="1"/>
    <col min="7177" max="7177" width="12.5703125" style="12" customWidth="1"/>
    <col min="7178" max="7178" width="12.7109375" style="12" customWidth="1"/>
    <col min="7179" max="7179" width="12.42578125" style="12" customWidth="1"/>
    <col min="7180" max="7180" width="12.7109375" style="12" customWidth="1"/>
    <col min="7181" max="7182" width="12.42578125" style="12" customWidth="1"/>
    <col min="7183" max="7183" width="12.7109375" style="12" customWidth="1"/>
    <col min="7184" max="7184" width="12.42578125" style="12" customWidth="1"/>
    <col min="7185" max="7186" width="12.7109375" style="12" customWidth="1"/>
    <col min="7187" max="7187" width="12.85546875" style="12" bestFit="1" customWidth="1"/>
    <col min="7188" max="7426" width="9.140625" style="12"/>
    <col min="7427" max="7427" width="14" style="12" customWidth="1"/>
    <col min="7428" max="7428" width="93.5703125" style="12" customWidth="1"/>
    <col min="7429" max="7429" width="13.42578125" style="12" bestFit="1" customWidth="1"/>
    <col min="7430" max="7430" width="9.140625" style="12"/>
    <col min="7431" max="7431" width="13.140625" style="12" customWidth="1"/>
    <col min="7432" max="7432" width="12.85546875" style="12" bestFit="1" customWidth="1"/>
    <col min="7433" max="7433" width="12.5703125" style="12" customWidth="1"/>
    <col min="7434" max="7434" width="12.7109375" style="12" customWidth="1"/>
    <col min="7435" max="7435" width="12.42578125" style="12" customWidth="1"/>
    <col min="7436" max="7436" width="12.7109375" style="12" customWidth="1"/>
    <col min="7437" max="7438" width="12.42578125" style="12" customWidth="1"/>
    <col min="7439" max="7439" width="12.7109375" style="12" customWidth="1"/>
    <col min="7440" max="7440" width="12.42578125" style="12" customWidth="1"/>
    <col min="7441" max="7442" width="12.7109375" style="12" customWidth="1"/>
    <col min="7443" max="7443" width="12.85546875" style="12" bestFit="1" customWidth="1"/>
    <col min="7444" max="7682" width="9.140625" style="12"/>
    <col min="7683" max="7683" width="14" style="12" customWidth="1"/>
    <col min="7684" max="7684" width="93.5703125" style="12" customWidth="1"/>
    <col min="7685" max="7685" width="13.42578125" style="12" bestFit="1" customWidth="1"/>
    <col min="7686" max="7686" width="9.140625" style="12"/>
    <col min="7687" max="7687" width="13.140625" style="12" customWidth="1"/>
    <col min="7688" max="7688" width="12.85546875" style="12" bestFit="1" customWidth="1"/>
    <col min="7689" max="7689" width="12.5703125" style="12" customWidth="1"/>
    <col min="7690" max="7690" width="12.7109375" style="12" customWidth="1"/>
    <col min="7691" max="7691" width="12.42578125" style="12" customWidth="1"/>
    <col min="7692" max="7692" width="12.7109375" style="12" customWidth="1"/>
    <col min="7693" max="7694" width="12.42578125" style="12" customWidth="1"/>
    <col min="7695" max="7695" width="12.7109375" style="12" customWidth="1"/>
    <col min="7696" max="7696" width="12.42578125" style="12" customWidth="1"/>
    <col min="7697" max="7698" width="12.7109375" style="12" customWidth="1"/>
    <col min="7699" max="7699" width="12.85546875" style="12" bestFit="1" customWidth="1"/>
    <col min="7700" max="7938" width="9.140625" style="12"/>
    <col min="7939" max="7939" width="14" style="12" customWidth="1"/>
    <col min="7940" max="7940" width="93.5703125" style="12" customWidth="1"/>
    <col min="7941" max="7941" width="13.42578125" style="12" bestFit="1" customWidth="1"/>
    <col min="7942" max="7942" width="9.140625" style="12"/>
    <col min="7943" max="7943" width="13.140625" style="12" customWidth="1"/>
    <col min="7944" max="7944" width="12.85546875" style="12" bestFit="1" customWidth="1"/>
    <col min="7945" max="7945" width="12.5703125" style="12" customWidth="1"/>
    <col min="7946" max="7946" width="12.7109375" style="12" customWidth="1"/>
    <col min="7947" max="7947" width="12.42578125" style="12" customWidth="1"/>
    <col min="7948" max="7948" width="12.7109375" style="12" customWidth="1"/>
    <col min="7949" max="7950" width="12.42578125" style="12" customWidth="1"/>
    <col min="7951" max="7951" width="12.7109375" style="12" customWidth="1"/>
    <col min="7952" max="7952" width="12.42578125" style="12" customWidth="1"/>
    <col min="7953" max="7954" width="12.7109375" style="12" customWidth="1"/>
    <col min="7955" max="7955" width="12.85546875" style="12" bestFit="1" customWidth="1"/>
    <col min="7956" max="8194" width="9.140625" style="12"/>
    <col min="8195" max="8195" width="14" style="12" customWidth="1"/>
    <col min="8196" max="8196" width="93.5703125" style="12" customWidth="1"/>
    <col min="8197" max="8197" width="13.42578125" style="12" bestFit="1" customWidth="1"/>
    <col min="8198" max="8198" width="9.140625" style="12"/>
    <col min="8199" max="8199" width="13.140625" style="12" customWidth="1"/>
    <col min="8200" max="8200" width="12.85546875" style="12" bestFit="1" customWidth="1"/>
    <col min="8201" max="8201" width="12.5703125" style="12" customWidth="1"/>
    <col min="8202" max="8202" width="12.7109375" style="12" customWidth="1"/>
    <col min="8203" max="8203" width="12.42578125" style="12" customWidth="1"/>
    <col min="8204" max="8204" width="12.7109375" style="12" customWidth="1"/>
    <col min="8205" max="8206" width="12.42578125" style="12" customWidth="1"/>
    <col min="8207" max="8207" width="12.7109375" style="12" customWidth="1"/>
    <col min="8208" max="8208" width="12.42578125" style="12" customWidth="1"/>
    <col min="8209" max="8210" width="12.7109375" style="12" customWidth="1"/>
    <col min="8211" max="8211" width="12.85546875" style="12" bestFit="1" customWidth="1"/>
    <col min="8212" max="8450" width="9.140625" style="12"/>
    <col min="8451" max="8451" width="14" style="12" customWidth="1"/>
    <col min="8452" max="8452" width="93.5703125" style="12" customWidth="1"/>
    <col min="8453" max="8453" width="13.42578125" style="12" bestFit="1" customWidth="1"/>
    <col min="8454" max="8454" width="9.140625" style="12"/>
    <col min="8455" max="8455" width="13.140625" style="12" customWidth="1"/>
    <col min="8456" max="8456" width="12.85546875" style="12" bestFit="1" customWidth="1"/>
    <col min="8457" max="8457" width="12.5703125" style="12" customWidth="1"/>
    <col min="8458" max="8458" width="12.7109375" style="12" customWidth="1"/>
    <col min="8459" max="8459" width="12.42578125" style="12" customWidth="1"/>
    <col min="8460" max="8460" width="12.7109375" style="12" customWidth="1"/>
    <col min="8461" max="8462" width="12.42578125" style="12" customWidth="1"/>
    <col min="8463" max="8463" width="12.7109375" style="12" customWidth="1"/>
    <col min="8464" max="8464" width="12.42578125" style="12" customWidth="1"/>
    <col min="8465" max="8466" width="12.7109375" style="12" customWidth="1"/>
    <col min="8467" max="8467" width="12.85546875" style="12" bestFit="1" customWidth="1"/>
    <col min="8468" max="8706" width="9.140625" style="12"/>
    <col min="8707" max="8707" width="14" style="12" customWidth="1"/>
    <col min="8708" max="8708" width="93.5703125" style="12" customWidth="1"/>
    <col min="8709" max="8709" width="13.42578125" style="12" bestFit="1" customWidth="1"/>
    <col min="8710" max="8710" width="9.140625" style="12"/>
    <col min="8711" max="8711" width="13.140625" style="12" customWidth="1"/>
    <col min="8712" max="8712" width="12.85546875" style="12" bestFit="1" customWidth="1"/>
    <col min="8713" max="8713" width="12.5703125" style="12" customWidth="1"/>
    <col min="8714" max="8714" width="12.7109375" style="12" customWidth="1"/>
    <col min="8715" max="8715" width="12.42578125" style="12" customWidth="1"/>
    <col min="8716" max="8716" width="12.7109375" style="12" customWidth="1"/>
    <col min="8717" max="8718" width="12.42578125" style="12" customWidth="1"/>
    <col min="8719" max="8719" width="12.7109375" style="12" customWidth="1"/>
    <col min="8720" max="8720" width="12.42578125" style="12" customWidth="1"/>
    <col min="8721" max="8722" width="12.7109375" style="12" customWidth="1"/>
    <col min="8723" max="8723" width="12.85546875" style="12" bestFit="1" customWidth="1"/>
    <col min="8724" max="8962" width="9.140625" style="12"/>
    <col min="8963" max="8963" width="14" style="12" customWidth="1"/>
    <col min="8964" max="8964" width="93.5703125" style="12" customWidth="1"/>
    <col min="8965" max="8965" width="13.42578125" style="12" bestFit="1" customWidth="1"/>
    <col min="8966" max="8966" width="9.140625" style="12"/>
    <col min="8967" max="8967" width="13.140625" style="12" customWidth="1"/>
    <col min="8968" max="8968" width="12.85546875" style="12" bestFit="1" customWidth="1"/>
    <col min="8969" max="8969" width="12.5703125" style="12" customWidth="1"/>
    <col min="8970" max="8970" width="12.7109375" style="12" customWidth="1"/>
    <col min="8971" max="8971" width="12.42578125" style="12" customWidth="1"/>
    <col min="8972" max="8972" width="12.7109375" style="12" customWidth="1"/>
    <col min="8973" max="8974" width="12.42578125" style="12" customWidth="1"/>
    <col min="8975" max="8975" width="12.7109375" style="12" customWidth="1"/>
    <col min="8976" max="8976" width="12.42578125" style="12" customWidth="1"/>
    <col min="8977" max="8978" width="12.7109375" style="12" customWidth="1"/>
    <col min="8979" max="8979" width="12.85546875" style="12" bestFit="1" customWidth="1"/>
    <col min="8980" max="9218" width="9.140625" style="12"/>
    <col min="9219" max="9219" width="14" style="12" customWidth="1"/>
    <col min="9220" max="9220" width="93.5703125" style="12" customWidth="1"/>
    <col min="9221" max="9221" width="13.42578125" style="12" bestFit="1" customWidth="1"/>
    <col min="9222" max="9222" width="9.140625" style="12"/>
    <col min="9223" max="9223" width="13.140625" style="12" customWidth="1"/>
    <col min="9224" max="9224" width="12.85546875" style="12" bestFit="1" customWidth="1"/>
    <col min="9225" max="9225" width="12.5703125" style="12" customWidth="1"/>
    <col min="9226" max="9226" width="12.7109375" style="12" customWidth="1"/>
    <col min="9227" max="9227" width="12.42578125" style="12" customWidth="1"/>
    <col min="9228" max="9228" width="12.7109375" style="12" customWidth="1"/>
    <col min="9229" max="9230" width="12.42578125" style="12" customWidth="1"/>
    <col min="9231" max="9231" width="12.7109375" style="12" customWidth="1"/>
    <col min="9232" max="9232" width="12.42578125" style="12" customWidth="1"/>
    <col min="9233" max="9234" width="12.7109375" style="12" customWidth="1"/>
    <col min="9235" max="9235" width="12.85546875" style="12" bestFit="1" customWidth="1"/>
    <col min="9236" max="9474" width="9.140625" style="12"/>
    <col min="9475" max="9475" width="14" style="12" customWidth="1"/>
    <col min="9476" max="9476" width="93.5703125" style="12" customWidth="1"/>
    <col min="9477" max="9477" width="13.42578125" style="12" bestFit="1" customWidth="1"/>
    <col min="9478" max="9478" width="9.140625" style="12"/>
    <col min="9479" max="9479" width="13.140625" style="12" customWidth="1"/>
    <col min="9480" max="9480" width="12.85546875" style="12" bestFit="1" customWidth="1"/>
    <col min="9481" max="9481" width="12.5703125" style="12" customWidth="1"/>
    <col min="9482" max="9482" width="12.7109375" style="12" customWidth="1"/>
    <col min="9483" max="9483" width="12.42578125" style="12" customWidth="1"/>
    <col min="9484" max="9484" width="12.7109375" style="12" customWidth="1"/>
    <col min="9485" max="9486" width="12.42578125" style="12" customWidth="1"/>
    <col min="9487" max="9487" width="12.7109375" style="12" customWidth="1"/>
    <col min="9488" max="9488" width="12.42578125" style="12" customWidth="1"/>
    <col min="9489" max="9490" width="12.7109375" style="12" customWidth="1"/>
    <col min="9491" max="9491" width="12.85546875" style="12" bestFit="1" customWidth="1"/>
    <col min="9492" max="9730" width="9.140625" style="12"/>
    <col min="9731" max="9731" width="14" style="12" customWidth="1"/>
    <col min="9732" max="9732" width="93.5703125" style="12" customWidth="1"/>
    <col min="9733" max="9733" width="13.42578125" style="12" bestFit="1" customWidth="1"/>
    <col min="9734" max="9734" width="9.140625" style="12"/>
    <col min="9735" max="9735" width="13.140625" style="12" customWidth="1"/>
    <col min="9736" max="9736" width="12.85546875" style="12" bestFit="1" customWidth="1"/>
    <col min="9737" max="9737" width="12.5703125" style="12" customWidth="1"/>
    <col min="9738" max="9738" width="12.7109375" style="12" customWidth="1"/>
    <col min="9739" max="9739" width="12.42578125" style="12" customWidth="1"/>
    <col min="9740" max="9740" width="12.7109375" style="12" customWidth="1"/>
    <col min="9741" max="9742" width="12.42578125" style="12" customWidth="1"/>
    <col min="9743" max="9743" width="12.7109375" style="12" customWidth="1"/>
    <col min="9744" max="9744" width="12.42578125" style="12" customWidth="1"/>
    <col min="9745" max="9746" width="12.7109375" style="12" customWidth="1"/>
    <col min="9747" max="9747" width="12.85546875" style="12" bestFit="1" customWidth="1"/>
    <col min="9748" max="9986" width="9.140625" style="12"/>
    <col min="9987" max="9987" width="14" style="12" customWidth="1"/>
    <col min="9988" max="9988" width="93.5703125" style="12" customWidth="1"/>
    <col min="9989" max="9989" width="13.42578125" style="12" bestFit="1" customWidth="1"/>
    <col min="9990" max="9990" width="9.140625" style="12"/>
    <col min="9991" max="9991" width="13.140625" style="12" customWidth="1"/>
    <col min="9992" max="9992" width="12.85546875" style="12" bestFit="1" customWidth="1"/>
    <col min="9993" max="9993" width="12.5703125" style="12" customWidth="1"/>
    <col min="9994" max="9994" width="12.7109375" style="12" customWidth="1"/>
    <col min="9995" max="9995" width="12.42578125" style="12" customWidth="1"/>
    <col min="9996" max="9996" width="12.7109375" style="12" customWidth="1"/>
    <col min="9997" max="9998" width="12.42578125" style="12" customWidth="1"/>
    <col min="9999" max="9999" width="12.7109375" style="12" customWidth="1"/>
    <col min="10000" max="10000" width="12.42578125" style="12" customWidth="1"/>
    <col min="10001" max="10002" width="12.7109375" style="12" customWidth="1"/>
    <col min="10003" max="10003" width="12.85546875" style="12" bestFit="1" customWidth="1"/>
    <col min="10004" max="10242" width="9.140625" style="12"/>
    <col min="10243" max="10243" width="14" style="12" customWidth="1"/>
    <col min="10244" max="10244" width="93.5703125" style="12" customWidth="1"/>
    <col min="10245" max="10245" width="13.42578125" style="12" bestFit="1" customWidth="1"/>
    <col min="10246" max="10246" width="9.140625" style="12"/>
    <col min="10247" max="10247" width="13.140625" style="12" customWidth="1"/>
    <col min="10248" max="10248" width="12.85546875" style="12" bestFit="1" customWidth="1"/>
    <col min="10249" max="10249" width="12.5703125" style="12" customWidth="1"/>
    <col min="10250" max="10250" width="12.7109375" style="12" customWidth="1"/>
    <col min="10251" max="10251" width="12.42578125" style="12" customWidth="1"/>
    <col min="10252" max="10252" width="12.7109375" style="12" customWidth="1"/>
    <col min="10253" max="10254" width="12.42578125" style="12" customWidth="1"/>
    <col min="10255" max="10255" width="12.7109375" style="12" customWidth="1"/>
    <col min="10256" max="10256" width="12.42578125" style="12" customWidth="1"/>
    <col min="10257" max="10258" width="12.7109375" style="12" customWidth="1"/>
    <col min="10259" max="10259" width="12.85546875" style="12" bestFit="1" customWidth="1"/>
    <col min="10260" max="10498" width="9.140625" style="12"/>
    <col min="10499" max="10499" width="14" style="12" customWidth="1"/>
    <col min="10500" max="10500" width="93.5703125" style="12" customWidth="1"/>
    <col min="10501" max="10501" width="13.42578125" style="12" bestFit="1" customWidth="1"/>
    <col min="10502" max="10502" width="9.140625" style="12"/>
    <col min="10503" max="10503" width="13.140625" style="12" customWidth="1"/>
    <col min="10504" max="10504" width="12.85546875" style="12" bestFit="1" customWidth="1"/>
    <col min="10505" max="10505" width="12.5703125" style="12" customWidth="1"/>
    <col min="10506" max="10506" width="12.7109375" style="12" customWidth="1"/>
    <col min="10507" max="10507" width="12.42578125" style="12" customWidth="1"/>
    <col min="10508" max="10508" width="12.7109375" style="12" customWidth="1"/>
    <col min="10509" max="10510" width="12.42578125" style="12" customWidth="1"/>
    <col min="10511" max="10511" width="12.7109375" style="12" customWidth="1"/>
    <col min="10512" max="10512" width="12.42578125" style="12" customWidth="1"/>
    <col min="10513" max="10514" width="12.7109375" style="12" customWidth="1"/>
    <col min="10515" max="10515" width="12.85546875" style="12" bestFit="1" customWidth="1"/>
    <col min="10516" max="10754" width="9.140625" style="12"/>
    <col min="10755" max="10755" width="14" style="12" customWidth="1"/>
    <col min="10756" max="10756" width="93.5703125" style="12" customWidth="1"/>
    <col min="10757" max="10757" width="13.42578125" style="12" bestFit="1" customWidth="1"/>
    <col min="10758" max="10758" width="9.140625" style="12"/>
    <col min="10759" max="10759" width="13.140625" style="12" customWidth="1"/>
    <col min="10760" max="10760" width="12.85546875" style="12" bestFit="1" customWidth="1"/>
    <col min="10761" max="10761" width="12.5703125" style="12" customWidth="1"/>
    <col min="10762" max="10762" width="12.7109375" style="12" customWidth="1"/>
    <col min="10763" max="10763" width="12.42578125" style="12" customWidth="1"/>
    <col min="10764" max="10764" width="12.7109375" style="12" customWidth="1"/>
    <col min="10765" max="10766" width="12.42578125" style="12" customWidth="1"/>
    <col min="10767" max="10767" width="12.7109375" style="12" customWidth="1"/>
    <col min="10768" max="10768" width="12.42578125" style="12" customWidth="1"/>
    <col min="10769" max="10770" width="12.7109375" style="12" customWidth="1"/>
    <col min="10771" max="10771" width="12.85546875" style="12" bestFit="1" customWidth="1"/>
    <col min="10772" max="11010" width="9.140625" style="12"/>
    <col min="11011" max="11011" width="14" style="12" customWidth="1"/>
    <col min="11012" max="11012" width="93.5703125" style="12" customWidth="1"/>
    <col min="11013" max="11013" width="13.42578125" style="12" bestFit="1" customWidth="1"/>
    <col min="11014" max="11014" width="9.140625" style="12"/>
    <col min="11015" max="11015" width="13.140625" style="12" customWidth="1"/>
    <col min="11016" max="11016" width="12.85546875" style="12" bestFit="1" customWidth="1"/>
    <col min="11017" max="11017" width="12.5703125" style="12" customWidth="1"/>
    <col min="11018" max="11018" width="12.7109375" style="12" customWidth="1"/>
    <col min="11019" max="11019" width="12.42578125" style="12" customWidth="1"/>
    <col min="11020" max="11020" width="12.7109375" style="12" customWidth="1"/>
    <col min="11021" max="11022" width="12.42578125" style="12" customWidth="1"/>
    <col min="11023" max="11023" width="12.7109375" style="12" customWidth="1"/>
    <col min="11024" max="11024" width="12.42578125" style="12" customWidth="1"/>
    <col min="11025" max="11026" width="12.7109375" style="12" customWidth="1"/>
    <col min="11027" max="11027" width="12.85546875" style="12" bestFit="1" customWidth="1"/>
    <col min="11028" max="11266" width="9.140625" style="12"/>
    <col min="11267" max="11267" width="14" style="12" customWidth="1"/>
    <col min="11268" max="11268" width="93.5703125" style="12" customWidth="1"/>
    <col min="11269" max="11269" width="13.42578125" style="12" bestFit="1" customWidth="1"/>
    <col min="11270" max="11270" width="9.140625" style="12"/>
    <col min="11271" max="11271" width="13.140625" style="12" customWidth="1"/>
    <col min="11272" max="11272" width="12.85546875" style="12" bestFit="1" customWidth="1"/>
    <col min="11273" max="11273" width="12.5703125" style="12" customWidth="1"/>
    <col min="11274" max="11274" width="12.7109375" style="12" customWidth="1"/>
    <col min="11275" max="11275" width="12.42578125" style="12" customWidth="1"/>
    <col min="11276" max="11276" width="12.7109375" style="12" customWidth="1"/>
    <col min="11277" max="11278" width="12.42578125" style="12" customWidth="1"/>
    <col min="11279" max="11279" width="12.7109375" style="12" customWidth="1"/>
    <col min="11280" max="11280" width="12.42578125" style="12" customWidth="1"/>
    <col min="11281" max="11282" width="12.7109375" style="12" customWidth="1"/>
    <col min="11283" max="11283" width="12.85546875" style="12" bestFit="1" customWidth="1"/>
    <col min="11284" max="11522" width="9.140625" style="12"/>
    <col min="11523" max="11523" width="14" style="12" customWidth="1"/>
    <col min="11524" max="11524" width="93.5703125" style="12" customWidth="1"/>
    <col min="11525" max="11525" width="13.42578125" style="12" bestFit="1" customWidth="1"/>
    <col min="11526" max="11526" width="9.140625" style="12"/>
    <col min="11527" max="11527" width="13.140625" style="12" customWidth="1"/>
    <col min="11528" max="11528" width="12.85546875" style="12" bestFit="1" customWidth="1"/>
    <col min="11529" max="11529" width="12.5703125" style="12" customWidth="1"/>
    <col min="11530" max="11530" width="12.7109375" style="12" customWidth="1"/>
    <col min="11531" max="11531" width="12.42578125" style="12" customWidth="1"/>
    <col min="11532" max="11532" width="12.7109375" style="12" customWidth="1"/>
    <col min="11533" max="11534" width="12.42578125" style="12" customWidth="1"/>
    <col min="11535" max="11535" width="12.7109375" style="12" customWidth="1"/>
    <col min="11536" max="11536" width="12.42578125" style="12" customWidth="1"/>
    <col min="11537" max="11538" width="12.7109375" style="12" customWidth="1"/>
    <col min="11539" max="11539" width="12.85546875" style="12" bestFit="1" customWidth="1"/>
    <col min="11540" max="11778" width="9.140625" style="12"/>
    <col min="11779" max="11779" width="14" style="12" customWidth="1"/>
    <col min="11780" max="11780" width="93.5703125" style="12" customWidth="1"/>
    <col min="11781" max="11781" width="13.42578125" style="12" bestFit="1" customWidth="1"/>
    <col min="11782" max="11782" width="9.140625" style="12"/>
    <col min="11783" max="11783" width="13.140625" style="12" customWidth="1"/>
    <col min="11784" max="11784" width="12.85546875" style="12" bestFit="1" customWidth="1"/>
    <col min="11785" max="11785" width="12.5703125" style="12" customWidth="1"/>
    <col min="11786" max="11786" width="12.7109375" style="12" customWidth="1"/>
    <col min="11787" max="11787" width="12.42578125" style="12" customWidth="1"/>
    <col min="11788" max="11788" width="12.7109375" style="12" customWidth="1"/>
    <col min="11789" max="11790" width="12.42578125" style="12" customWidth="1"/>
    <col min="11791" max="11791" width="12.7109375" style="12" customWidth="1"/>
    <col min="11792" max="11792" width="12.42578125" style="12" customWidth="1"/>
    <col min="11793" max="11794" width="12.7109375" style="12" customWidth="1"/>
    <col min="11795" max="11795" width="12.85546875" style="12" bestFit="1" customWidth="1"/>
    <col min="11796" max="12034" width="9.140625" style="12"/>
    <col min="12035" max="12035" width="14" style="12" customWidth="1"/>
    <col min="12036" max="12036" width="93.5703125" style="12" customWidth="1"/>
    <col min="12037" max="12037" width="13.42578125" style="12" bestFit="1" customWidth="1"/>
    <col min="12038" max="12038" width="9.140625" style="12"/>
    <col min="12039" max="12039" width="13.140625" style="12" customWidth="1"/>
    <col min="12040" max="12040" width="12.85546875" style="12" bestFit="1" customWidth="1"/>
    <col min="12041" max="12041" width="12.5703125" style="12" customWidth="1"/>
    <col min="12042" max="12042" width="12.7109375" style="12" customWidth="1"/>
    <col min="12043" max="12043" width="12.42578125" style="12" customWidth="1"/>
    <col min="12044" max="12044" width="12.7109375" style="12" customWidth="1"/>
    <col min="12045" max="12046" width="12.42578125" style="12" customWidth="1"/>
    <col min="12047" max="12047" width="12.7109375" style="12" customWidth="1"/>
    <col min="12048" max="12048" width="12.42578125" style="12" customWidth="1"/>
    <col min="12049" max="12050" width="12.7109375" style="12" customWidth="1"/>
    <col min="12051" max="12051" width="12.85546875" style="12" bestFit="1" customWidth="1"/>
    <col min="12052" max="12290" width="9.140625" style="12"/>
    <col min="12291" max="12291" width="14" style="12" customWidth="1"/>
    <col min="12292" max="12292" width="93.5703125" style="12" customWidth="1"/>
    <col min="12293" max="12293" width="13.42578125" style="12" bestFit="1" customWidth="1"/>
    <col min="12294" max="12294" width="9.140625" style="12"/>
    <col min="12295" max="12295" width="13.140625" style="12" customWidth="1"/>
    <col min="12296" max="12296" width="12.85546875" style="12" bestFit="1" customWidth="1"/>
    <col min="12297" max="12297" width="12.5703125" style="12" customWidth="1"/>
    <col min="12298" max="12298" width="12.7109375" style="12" customWidth="1"/>
    <col min="12299" max="12299" width="12.42578125" style="12" customWidth="1"/>
    <col min="12300" max="12300" width="12.7109375" style="12" customWidth="1"/>
    <col min="12301" max="12302" width="12.42578125" style="12" customWidth="1"/>
    <col min="12303" max="12303" width="12.7109375" style="12" customWidth="1"/>
    <col min="12304" max="12304" width="12.42578125" style="12" customWidth="1"/>
    <col min="12305" max="12306" width="12.7109375" style="12" customWidth="1"/>
    <col min="12307" max="12307" width="12.85546875" style="12" bestFit="1" customWidth="1"/>
    <col min="12308" max="12546" width="9.140625" style="12"/>
    <col min="12547" max="12547" width="14" style="12" customWidth="1"/>
    <col min="12548" max="12548" width="93.5703125" style="12" customWidth="1"/>
    <col min="12549" max="12549" width="13.42578125" style="12" bestFit="1" customWidth="1"/>
    <col min="12550" max="12550" width="9.140625" style="12"/>
    <col min="12551" max="12551" width="13.140625" style="12" customWidth="1"/>
    <col min="12552" max="12552" width="12.85546875" style="12" bestFit="1" customWidth="1"/>
    <col min="12553" max="12553" width="12.5703125" style="12" customWidth="1"/>
    <col min="12554" max="12554" width="12.7109375" style="12" customWidth="1"/>
    <col min="12555" max="12555" width="12.42578125" style="12" customWidth="1"/>
    <col min="12556" max="12556" width="12.7109375" style="12" customWidth="1"/>
    <col min="12557" max="12558" width="12.42578125" style="12" customWidth="1"/>
    <col min="12559" max="12559" width="12.7109375" style="12" customWidth="1"/>
    <col min="12560" max="12560" width="12.42578125" style="12" customWidth="1"/>
    <col min="12561" max="12562" width="12.7109375" style="12" customWidth="1"/>
    <col min="12563" max="12563" width="12.85546875" style="12" bestFit="1" customWidth="1"/>
    <col min="12564" max="12802" width="9.140625" style="12"/>
    <col min="12803" max="12803" width="14" style="12" customWidth="1"/>
    <col min="12804" max="12804" width="93.5703125" style="12" customWidth="1"/>
    <col min="12805" max="12805" width="13.42578125" style="12" bestFit="1" customWidth="1"/>
    <col min="12806" max="12806" width="9.140625" style="12"/>
    <col min="12807" max="12807" width="13.140625" style="12" customWidth="1"/>
    <col min="12808" max="12808" width="12.85546875" style="12" bestFit="1" customWidth="1"/>
    <col min="12809" max="12809" width="12.5703125" style="12" customWidth="1"/>
    <col min="12810" max="12810" width="12.7109375" style="12" customWidth="1"/>
    <col min="12811" max="12811" width="12.42578125" style="12" customWidth="1"/>
    <col min="12812" max="12812" width="12.7109375" style="12" customWidth="1"/>
    <col min="12813" max="12814" width="12.42578125" style="12" customWidth="1"/>
    <col min="12815" max="12815" width="12.7109375" style="12" customWidth="1"/>
    <col min="12816" max="12816" width="12.42578125" style="12" customWidth="1"/>
    <col min="12817" max="12818" width="12.7109375" style="12" customWidth="1"/>
    <col min="12819" max="12819" width="12.85546875" style="12" bestFit="1" customWidth="1"/>
    <col min="12820" max="13058" width="9.140625" style="12"/>
    <col min="13059" max="13059" width="14" style="12" customWidth="1"/>
    <col min="13060" max="13060" width="93.5703125" style="12" customWidth="1"/>
    <col min="13061" max="13061" width="13.42578125" style="12" bestFit="1" customWidth="1"/>
    <col min="13062" max="13062" width="9.140625" style="12"/>
    <col min="13063" max="13063" width="13.140625" style="12" customWidth="1"/>
    <col min="13064" max="13064" width="12.85546875" style="12" bestFit="1" customWidth="1"/>
    <col min="13065" max="13065" width="12.5703125" style="12" customWidth="1"/>
    <col min="13066" max="13066" width="12.7109375" style="12" customWidth="1"/>
    <col min="13067" max="13067" width="12.42578125" style="12" customWidth="1"/>
    <col min="13068" max="13068" width="12.7109375" style="12" customWidth="1"/>
    <col min="13069" max="13070" width="12.42578125" style="12" customWidth="1"/>
    <col min="13071" max="13071" width="12.7109375" style="12" customWidth="1"/>
    <col min="13072" max="13072" width="12.42578125" style="12" customWidth="1"/>
    <col min="13073" max="13074" width="12.7109375" style="12" customWidth="1"/>
    <col min="13075" max="13075" width="12.85546875" style="12" bestFit="1" customWidth="1"/>
    <col min="13076" max="13314" width="9.140625" style="12"/>
    <col min="13315" max="13315" width="14" style="12" customWidth="1"/>
    <col min="13316" max="13316" width="93.5703125" style="12" customWidth="1"/>
    <col min="13317" max="13317" width="13.42578125" style="12" bestFit="1" customWidth="1"/>
    <col min="13318" max="13318" width="9.140625" style="12"/>
    <col min="13319" max="13319" width="13.140625" style="12" customWidth="1"/>
    <col min="13320" max="13320" width="12.85546875" style="12" bestFit="1" customWidth="1"/>
    <col min="13321" max="13321" width="12.5703125" style="12" customWidth="1"/>
    <col min="13322" max="13322" width="12.7109375" style="12" customWidth="1"/>
    <col min="13323" max="13323" width="12.42578125" style="12" customWidth="1"/>
    <col min="13324" max="13324" width="12.7109375" style="12" customWidth="1"/>
    <col min="13325" max="13326" width="12.42578125" style="12" customWidth="1"/>
    <col min="13327" max="13327" width="12.7109375" style="12" customWidth="1"/>
    <col min="13328" max="13328" width="12.42578125" style="12" customWidth="1"/>
    <col min="13329" max="13330" width="12.7109375" style="12" customWidth="1"/>
    <col min="13331" max="13331" width="12.85546875" style="12" bestFit="1" customWidth="1"/>
    <col min="13332" max="13570" width="9.140625" style="12"/>
    <col min="13571" max="13571" width="14" style="12" customWidth="1"/>
    <col min="13572" max="13572" width="93.5703125" style="12" customWidth="1"/>
    <col min="13573" max="13573" width="13.42578125" style="12" bestFit="1" customWidth="1"/>
    <col min="13574" max="13574" width="9.140625" style="12"/>
    <col min="13575" max="13575" width="13.140625" style="12" customWidth="1"/>
    <col min="13576" max="13576" width="12.85546875" style="12" bestFit="1" customWidth="1"/>
    <col min="13577" max="13577" width="12.5703125" style="12" customWidth="1"/>
    <col min="13578" max="13578" width="12.7109375" style="12" customWidth="1"/>
    <col min="13579" max="13579" width="12.42578125" style="12" customWidth="1"/>
    <col min="13580" max="13580" width="12.7109375" style="12" customWidth="1"/>
    <col min="13581" max="13582" width="12.42578125" style="12" customWidth="1"/>
    <col min="13583" max="13583" width="12.7109375" style="12" customWidth="1"/>
    <col min="13584" max="13584" width="12.42578125" style="12" customWidth="1"/>
    <col min="13585" max="13586" width="12.7109375" style="12" customWidth="1"/>
    <col min="13587" max="13587" width="12.85546875" style="12" bestFit="1" customWidth="1"/>
    <col min="13588" max="13826" width="9.140625" style="12"/>
    <col min="13827" max="13827" width="14" style="12" customWidth="1"/>
    <col min="13828" max="13828" width="93.5703125" style="12" customWidth="1"/>
    <col min="13829" max="13829" width="13.42578125" style="12" bestFit="1" customWidth="1"/>
    <col min="13830" max="13830" width="9.140625" style="12"/>
    <col min="13831" max="13831" width="13.140625" style="12" customWidth="1"/>
    <col min="13832" max="13832" width="12.85546875" style="12" bestFit="1" customWidth="1"/>
    <col min="13833" max="13833" width="12.5703125" style="12" customWidth="1"/>
    <col min="13834" max="13834" width="12.7109375" style="12" customWidth="1"/>
    <col min="13835" max="13835" width="12.42578125" style="12" customWidth="1"/>
    <col min="13836" max="13836" width="12.7109375" style="12" customWidth="1"/>
    <col min="13837" max="13838" width="12.42578125" style="12" customWidth="1"/>
    <col min="13839" max="13839" width="12.7109375" style="12" customWidth="1"/>
    <col min="13840" max="13840" width="12.42578125" style="12" customWidth="1"/>
    <col min="13841" max="13842" width="12.7109375" style="12" customWidth="1"/>
    <col min="13843" max="13843" width="12.85546875" style="12" bestFit="1" customWidth="1"/>
    <col min="13844" max="14082" width="9.140625" style="12"/>
    <col min="14083" max="14083" width="14" style="12" customWidth="1"/>
    <col min="14084" max="14084" width="93.5703125" style="12" customWidth="1"/>
    <col min="14085" max="14085" width="13.42578125" style="12" bestFit="1" customWidth="1"/>
    <col min="14086" max="14086" width="9.140625" style="12"/>
    <col min="14087" max="14087" width="13.140625" style="12" customWidth="1"/>
    <col min="14088" max="14088" width="12.85546875" style="12" bestFit="1" customWidth="1"/>
    <col min="14089" max="14089" width="12.5703125" style="12" customWidth="1"/>
    <col min="14090" max="14090" width="12.7109375" style="12" customWidth="1"/>
    <col min="14091" max="14091" width="12.42578125" style="12" customWidth="1"/>
    <col min="14092" max="14092" width="12.7109375" style="12" customWidth="1"/>
    <col min="14093" max="14094" width="12.42578125" style="12" customWidth="1"/>
    <col min="14095" max="14095" width="12.7109375" style="12" customWidth="1"/>
    <col min="14096" max="14096" width="12.42578125" style="12" customWidth="1"/>
    <col min="14097" max="14098" width="12.7109375" style="12" customWidth="1"/>
    <col min="14099" max="14099" width="12.85546875" style="12" bestFit="1" customWidth="1"/>
    <col min="14100" max="14338" width="9.140625" style="12"/>
    <col min="14339" max="14339" width="14" style="12" customWidth="1"/>
    <col min="14340" max="14340" width="93.5703125" style="12" customWidth="1"/>
    <col min="14341" max="14341" width="13.42578125" style="12" bestFit="1" customWidth="1"/>
    <col min="14342" max="14342" width="9.140625" style="12"/>
    <col min="14343" max="14343" width="13.140625" style="12" customWidth="1"/>
    <col min="14344" max="14344" width="12.85546875" style="12" bestFit="1" customWidth="1"/>
    <col min="14345" max="14345" width="12.5703125" style="12" customWidth="1"/>
    <col min="14346" max="14346" width="12.7109375" style="12" customWidth="1"/>
    <col min="14347" max="14347" width="12.42578125" style="12" customWidth="1"/>
    <col min="14348" max="14348" width="12.7109375" style="12" customWidth="1"/>
    <col min="14349" max="14350" width="12.42578125" style="12" customWidth="1"/>
    <col min="14351" max="14351" width="12.7109375" style="12" customWidth="1"/>
    <col min="14352" max="14352" width="12.42578125" style="12" customWidth="1"/>
    <col min="14353" max="14354" width="12.7109375" style="12" customWidth="1"/>
    <col min="14355" max="14355" width="12.85546875" style="12" bestFit="1" customWidth="1"/>
    <col min="14356" max="14594" width="9.140625" style="12"/>
    <col min="14595" max="14595" width="14" style="12" customWidth="1"/>
    <col min="14596" max="14596" width="93.5703125" style="12" customWidth="1"/>
    <col min="14597" max="14597" width="13.42578125" style="12" bestFit="1" customWidth="1"/>
    <col min="14598" max="14598" width="9.140625" style="12"/>
    <col min="14599" max="14599" width="13.140625" style="12" customWidth="1"/>
    <col min="14600" max="14600" width="12.85546875" style="12" bestFit="1" customWidth="1"/>
    <col min="14601" max="14601" width="12.5703125" style="12" customWidth="1"/>
    <col min="14602" max="14602" width="12.7109375" style="12" customWidth="1"/>
    <col min="14603" max="14603" width="12.42578125" style="12" customWidth="1"/>
    <col min="14604" max="14604" width="12.7109375" style="12" customWidth="1"/>
    <col min="14605" max="14606" width="12.42578125" style="12" customWidth="1"/>
    <col min="14607" max="14607" width="12.7109375" style="12" customWidth="1"/>
    <col min="14608" max="14608" width="12.42578125" style="12" customWidth="1"/>
    <col min="14609" max="14610" width="12.7109375" style="12" customWidth="1"/>
    <col min="14611" max="14611" width="12.85546875" style="12" bestFit="1" customWidth="1"/>
    <col min="14612" max="14850" width="9.140625" style="12"/>
    <col min="14851" max="14851" width="14" style="12" customWidth="1"/>
    <col min="14852" max="14852" width="93.5703125" style="12" customWidth="1"/>
    <col min="14853" max="14853" width="13.42578125" style="12" bestFit="1" customWidth="1"/>
    <col min="14854" max="14854" width="9.140625" style="12"/>
    <col min="14855" max="14855" width="13.140625" style="12" customWidth="1"/>
    <col min="14856" max="14856" width="12.85546875" style="12" bestFit="1" customWidth="1"/>
    <col min="14857" max="14857" width="12.5703125" style="12" customWidth="1"/>
    <col min="14858" max="14858" width="12.7109375" style="12" customWidth="1"/>
    <col min="14859" max="14859" width="12.42578125" style="12" customWidth="1"/>
    <col min="14860" max="14860" width="12.7109375" style="12" customWidth="1"/>
    <col min="14861" max="14862" width="12.42578125" style="12" customWidth="1"/>
    <col min="14863" max="14863" width="12.7109375" style="12" customWidth="1"/>
    <col min="14864" max="14864" width="12.42578125" style="12" customWidth="1"/>
    <col min="14865" max="14866" width="12.7109375" style="12" customWidth="1"/>
    <col min="14867" max="14867" width="12.85546875" style="12" bestFit="1" customWidth="1"/>
    <col min="14868" max="15106" width="9.140625" style="12"/>
    <col min="15107" max="15107" width="14" style="12" customWidth="1"/>
    <col min="15108" max="15108" width="93.5703125" style="12" customWidth="1"/>
    <col min="15109" max="15109" width="13.42578125" style="12" bestFit="1" customWidth="1"/>
    <col min="15110" max="15110" width="9.140625" style="12"/>
    <col min="15111" max="15111" width="13.140625" style="12" customWidth="1"/>
    <col min="15112" max="15112" width="12.85546875" style="12" bestFit="1" customWidth="1"/>
    <col min="15113" max="15113" width="12.5703125" style="12" customWidth="1"/>
    <col min="15114" max="15114" width="12.7109375" style="12" customWidth="1"/>
    <col min="15115" max="15115" width="12.42578125" style="12" customWidth="1"/>
    <col min="15116" max="15116" width="12.7109375" style="12" customWidth="1"/>
    <col min="15117" max="15118" width="12.42578125" style="12" customWidth="1"/>
    <col min="15119" max="15119" width="12.7109375" style="12" customWidth="1"/>
    <col min="15120" max="15120" width="12.42578125" style="12" customWidth="1"/>
    <col min="15121" max="15122" width="12.7109375" style="12" customWidth="1"/>
    <col min="15123" max="15123" width="12.85546875" style="12" bestFit="1" customWidth="1"/>
    <col min="15124" max="15362" width="9.140625" style="12"/>
    <col min="15363" max="15363" width="14" style="12" customWidth="1"/>
    <col min="15364" max="15364" width="93.5703125" style="12" customWidth="1"/>
    <col min="15365" max="15365" width="13.42578125" style="12" bestFit="1" customWidth="1"/>
    <col min="15366" max="15366" width="9.140625" style="12"/>
    <col min="15367" max="15367" width="13.140625" style="12" customWidth="1"/>
    <col min="15368" max="15368" width="12.85546875" style="12" bestFit="1" customWidth="1"/>
    <col min="15369" max="15369" width="12.5703125" style="12" customWidth="1"/>
    <col min="15370" max="15370" width="12.7109375" style="12" customWidth="1"/>
    <col min="15371" max="15371" width="12.42578125" style="12" customWidth="1"/>
    <col min="15372" max="15372" width="12.7109375" style="12" customWidth="1"/>
    <col min="15373" max="15374" width="12.42578125" style="12" customWidth="1"/>
    <col min="15375" max="15375" width="12.7109375" style="12" customWidth="1"/>
    <col min="15376" max="15376" width="12.42578125" style="12" customWidth="1"/>
    <col min="15377" max="15378" width="12.7109375" style="12" customWidth="1"/>
    <col min="15379" max="15379" width="12.85546875" style="12" bestFit="1" customWidth="1"/>
    <col min="15380" max="15618" width="9.140625" style="12"/>
    <col min="15619" max="15619" width="14" style="12" customWidth="1"/>
    <col min="15620" max="15620" width="93.5703125" style="12" customWidth="1"/>
    <col min="15621" max="15621" width="13.42578125" style="12" bestFit="1" customWidth="1"/>
    <col min="15622" max="15622" width="9.140625" style="12"/>
    <col min="15623" max="15623" width="13.140625" style="12" customWidth="1"/>
    <col min="15624" max="15624" width="12.85546875" style="12" bestFit="1" customWidth="1"/>
    <col min="15625" max="15625" width="12.5703125" style="12" customWidth="1"/>
    <col min="15626" max="15626" width="12.7109375" style="12" customWidth="1"/>
    <col min="15627" max="15627" width="12.42578125" style="12" customWidth="1"/>
    <col min="15628" max="15628" width="12.7109375" style="12" customWidth="1"/>
    <col min="15629" max="15630" width="12.42578125" style="12" customWidth="1"/>
    <col min="15631" max="15631" width="12.7109375" style="12" customWidth="1"/>
    <col min="15632" max="15632" width="12.42578125" style="12" customWidth="1"/>
    <col min="15633" max="15634" width="12.7109375" style="12" customWidth="1"/>
    <col min="15635" max="15635" width="12.85546875" style="12" bestFit="1" customWidth="1"/>
    <col min="15636" max="15874" width="9.140625" style="12"/>
    <col min="15875" max="15875" width="14" style="12" customWidth="1"/>
    <col min="15876" max="15876" width="93.5703125" style="12" customWidth="1"/>
    <col min="15877" max="15877" width="13.42578125" style="12" bestFit="1" customWidth="1"/>
    <col min="15878" max="15878" width="9.140625" style="12"/>
    <col min="15879" max="15879" width="13.140625" style="12" customWidth="1"/>
    <col min="15880" max="15880" width="12.85546875" style="12" bestFit="1" customWidth="1"/>
    <col min="15881" max="15881" width="12.5703125" style="12" customWidth="1"/>
    <col min="15882" max="15882" width="12.7109375" style="12" customWidth="1"/>
    <col min="15883" max="15883" width="12.42578125" style="12" customWidth="1"/>
    <col min="15884" max="15884" width="12.7109375" style="12" customWidth="1"/>
    <col min="15885" max="15886" width="12.42578125" style="12" customWidth="1"/>
    <col min="15887" max="15887" width="12.7109375" style="12" customWidth="1"/>
    <col min="15888" max="15888" width="12.42578125" style="12" customWidth="1"/>
    <col min="15889" max="15890" width="12.7109375" style="12" customWidth="1"/>
    <col min="15891" max="15891" width="12.85546875" style="12" bestFit="1" customWidth="1"/>
    <col min="15892" max="16130" width="9.140625" style="12"/>
    <col min="16131" max="16131" width="14" style="12" customWidth="1"/>
    <col min="16132" max="16132" width="93.5703125" style="12" customWidth="1"/>
    <col min="16133" max="16133" width="13.42578125" style="12" bestFit="1" customWidth="1"/>
    <col min="16134" max="16134" width="9.140625" style="12"/>
    <col min="16135" max="16135" width="13.140625" style="12" customWidth="1"/>
    <col min="16136" max="16136" width="12.85546875" style="12" bestFit="1" customWidth="1"/>
    <col min="16137" max="16137" width="12.5703125" style="12" customWidth="1"/>
    <col min="16138" max="16138" width="12.7109375" style="12" customWidth="1"/>
    <col min="16139" max="16139" width="12.42578125" style="12" customWidth="1"/>
    <col min="16140" max="16140" width="12.7109375" style="12" customWidth="1"/>
    <col min="16141" max="16142" width="12.42578125" style="12" customWidth="1"/>
    <col min="16143" max="16143" width="12.7109375" style="12" customWidth="1"/>
    <col min="16144" max="16144" width="12.42578125" style="12" customWidth="1"/>
    <col min="16145" max="16146" width="12.7109375" style="12" customWidth="1"/>
    <col min="16147" max="16147" width="12.85546875" style="12" bestFit="1" customWidth="1"/>
    <col min="16148" max="16384" width="9.140625" style="12"/>
  </cols>
  <sheetData>
    <row r="1" spans="1:19" customFormat="1" ht="66.75" customHeight="1" x14ac:dyDescent="0.35">
      <c r="A1" s="131" t="s">
        <v>33</v>
      </c>
      <c r="B1" s="131"/>
      <c r="C1" s="131"/>
      <c r="D1" s="131"/>
      <c r="E1" s="131"/>
      <c r="F1" s="19"/>
      <c r="G1" s="19"/>
      <c r="H1" s="19"/>
      <c r="I1" s="19"/>
      <c r="J1" s="19"/>
      <c r="K1" s="19"/>
    </row>
    <row r="2" spans="1:19" customFormat="1" ht="36" customHeight="1" x14ac:dyDescent="0.25">
      <c r="A2" s="130" t="str">
        <f>ORÇAMENTO!A2</f>
        <v xml:space="preserve">               OBRA: PAVIMENTAÇÃO POLIÉDRICAS EM PEDRAS IRREGULARES COMUNIDADE SÃO JOÃO BATISTA</v>
      </c>
      <c r="B2" s="130"/>
      <c r="C2" s="130"/>
      <c r="D2" s="130"/>
      <c r="E2" s="130"/>
      <c r="F2" s="55"/>
      <c r="G2" s="55"/>
      <c r="H2" s="55"/>
      <c r="I2" s="55"/>
      <c r="J2" s="55"/>
      <c r="K2" s="55"/>
    </row>
    <row r="3" spans="1:19" ht="13.5" thickBot="1" x14ac:dyDescent="0.25">
      <c r="A3" s="13"/>
      <c r="B3" s="13"/>
      <c r="C3" s="13"/>
      <c r="D3" s="13"/>
      <c r="E3" s="54"/>
    </row>
    <row r="4" spans="1:19" ht="30.75" thickBot="1" x14ac:dyDescent="0.3">
      <c r="A4" s="1" t="str">
        <f>ORÇAMENTO!A3</f>
        <v>Código DER PR</v>
      </c>
      <c r="B4" s="1" t="s">
        <v>12</v>
      </c>
      <c r="C4" s="1" t="s">
        <v>30</v>
      </c>
      <c r="D4" s="1" t="s">
        <v>2</v>
      </c>
      <c r="E4" s="1" t="s">
        <v>29</v>
      </c>
      <c r="F4" s="1" t="s">
        <v>13</v>
      </c>
      <c r="G4" s="1" t="s">
        <v>14</v>
      </c>
      <c r="H4" s="1" t="s">
        <v>15</v>
      </c>
      <c r="I4" s="1" t="s">
        <v>16</v>
      </c>
      <c r="J4" s="1" t="s">
        <v>17</v>
      </c>
      <c r="K4" s="1" t="s">
        <v>18</v>
      </c>
      <c r="L4" s="1" t="s">
        <v>19</v>
      </c>
      <c r="M4" s="1" t="s">
        <v>20</v>
      </c>
      <c r="N4" s="1" t="s">
        <v>24</v>
      </c>
      <c r="O4" s="1" t="s">
        <v>25</v>
      </c>
      <c r="P4" s="1" t="s">
        <v>26</v>
      </c>
      <c r="Q4" s="1" t="s">
        <v>27</v>
      </c>
      <c r="R4" s="8" t="s">
        <v>21</v>
      </c>
      <c r="S4" s="33" t="s">
        <v>28</v>
      </c>
    </row>
    <row r="5" spans="1:19" x14ac:dyDescent="0.2">
      <c r="A5" s="20">
        <f>ORÇAMENTO!A22</f>
        <v>53260</v>
      </c>
      <c r="B5" s="21" t="str">
        <f>ORÇAMENTO!B22</f>
        <v>Colchão de argila p/paviment. Poliédrica (somente mão de obra)</v>
      </c>
      <c r="C5" s="32">
        <f>ORÇAMENTO!E22</f>
        <v>2385.16</v>
      </c>
      <c r="D5" s="31" t="str">
        <f>ORÇAMENTO!C22</f>
        <v>m²</v>
      </c>
      <c r="E5" s="30">
        <f>ORÇAMENTO!Y22</f>
        <v>0</v>
      </c>
      <c r="F5" s="27">
        <f t="shared" ref="F5:P9" si="0">ROUND($E5/12,2)</f>
        <v>0</v>
      </c>
      <c r="G5" s="27">
        <f t="shared" ref="G5:P8" si="1">ROUND($E5/12,2)</f>
        <v>0</v>
      </c>
      <c r="H5" s="27">
        <f t="shared" si="1"/>
        <v>0</v>
      </c>
      <c r="I5" s="27">
        <f t="shared" si="1"/>
        <v>0</v>
      </c>
      <c r="J5" s="27">
        <f t="shared" si="1"/>
        <v>0</v>
      </c>
      <c r="K5" s="27">
        <f t="shared" si="1"/>
        <v>0</v>
      </c>
      <c r="L5" s="27">
        <f t="shared" si="1"/>
        <v>0</v>
      </c>
      <c r="M5" s="27">
        <f t="shared" si="1"/>
        <v>0</v>
      </c>
      <c r="N5" s="27">
        <f t="shared" si="1"/>
        <v>0</v>
      </c>
      <c r="O5" s="27">
        <f t="shared" si="1"/>
        <v>0</v>
      </c>
      <c r="P5" s="27">
        <f t="shared" si="1"/>
        <v>0</v>
      </c>
      <c r="Q5" s="27">
        <f>ROUND($E5/12,2)+0.05</f>
        <v>0.05</v>
      </c>
      <c r="R5" s="15">
        <f t="shared" ref="R5:R12" si="2">SUM(F5:Q5)</f>
        <v>0.05</v>
      </c>
      <c r="S5" s="16">
        <f t="shared" ref="S5:S12" si="3">E5-R5</f>
        <v>-0.05</v>
      </c>
    </row>
    <row r="6" spans="1:19" x14ac:dyDescent="0.2">
      <c r="A6" s="20">
        <f>ORÇAMENTO!A23</f>
        <v>53520</v>
      </c>
      <c r="B6" s="21" t="str">
        <f>ORÇAMENTO!B23</f>
        <v xml:space="preserve">Extração, carga,transp.e assent. Cordão cont. lateral  </v>
      </c>
      <c r="C6" s="32">
        <f>ORÇAMENTO!E23</f>
        <v>757.56</v>
      </c>
      <c r="D6" s="31" t="str">
        <f>ORÇAMENTO!C23</f>
        <v>m</v>
      </c>
      <c r="E6" s="30">
        <f>ORÇAMENTO!Y23</f>
        <v>0</v>
      </c>
      <c r="F6" s="27">
        <f t="shared" si="0"/>
        <v>0</v>
      </c>
      <c r="G6" s="27">
        <f t="shared" si="1"/>
        <v>0</v>
      </c>
      <c r="H6" s="27">
        <f t="shared" si="1"/>
        <v>0</v>
      </c>
      <c r="I6" s="27">
        <f t="shared" si="1"/>
        <v>0</v>
      </c>
      <c r="J6" s="27">
        <f t="shared" si="1"/>
        <v>0</v>
      </c>
      <c r="K6" s="27">
        <f t="shared" si="1"/>
        <v>0</v>
      </c>
      <c r="L6" s="27">
        <f t="shared" si="1"/>
        <v>0</v>
      </c>
      <c r="M6" s="27">
        <f t="shared" si="1"/>
        <v>0</v>
      </c>
      <c r="N6" s="27">
        <f t="shared" si="1"/>
        <v>0</v>
      </c>
      <c r="O6" s="27">
        <f t="shared" si="1"/>
        <v>0</v>
      </c>
      <c r="P6" s="27">
        <f t="shared" si="1"/>
        <v>0</v>
      </c>
      <c r="Q6" s="27">
        <f>ROUND($E6/12,2)+0.05</f>
        <v>0.05</v>
      </c>
      <c r="R6" s="15">
        <f t="shared" si="2"/>
        <v>0.05</v>
      </c>
      <c r="S6" s="16">
        <f t="shared" si="3"/>
        <v>-0.05</v>
      </c>
    </row>
    <row r="7" spans="1:19" x14ac:dyDescent="0.2">
      <c r="A7" s="20">
        <f>ORÇAMENTO!A24</f>
        <v>52145</v>
      </c>
      <c r="B7" s="21" t="str">
        <f>ORÇAMENTO!B24</f>
        <v>Extração, carga,transp.preparo e assent. Poliédrico</v>
      </c>
      <c r="C7" s="32">
        <f>ORÇAMENTO!E24</f>
        <v>2385.16</v>
      </c>
      <c r="D7" s="31" t="str">
        <f>ORÇAMENTO!C24</f>
        <v>m²</v>
      </c>
      <c r="E7" s="30">
        <f>ORÇAMENTO!Y24</f>
        <v>0</v>
      </c>
      <c r="F7" s="27">
        <f t="shared" si="0"/>
        <v>0</v>
      </c>
      <c r="G7" s="27">
        <f t="shared" si="1"/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7">
        <f t="shared" si="1"/>
        <v>0</v>
      </c>
      <c r="O7" s="27">
        <f t="shared" si="1"/>
        <v>0</v>
      </c>
      <c r="P7" s="27">
        <f t="shared" si="1"/>
        <v>0</v>
      </c>
      <c r="Q7" s="27">
        <f>ROUND($E7/12,2)-0.02</f>
        <v>-0.02</v>
      </c>
      <c r="R7" s="15">
        <f t="shared" si="2"/>
        <v>-0.02</v>
      </c>
      <c r="S7" s="16">
        <f t="shared" si="3"/>
        <v>0.02</v>
      </c>
    </row>
    <row r="8" spans="1:19" x14ac:dyDescent="0.2">
      <c r="A8" s="20">
        <f>ORÇAMENTO!A25</f>
        <v>53265</v>
      </c>
      <c r="B8" s="21" t="str">
        <f>ORÇAMENTO!B25</f>
        <v>Enchimento com argila (somente mão de obra)</v>
      </c>
      <c r="C8" s="32">
        <f>ORÇAMENTO!E25</f>
        <v>2612.4299999999998</v>
      </c>
      <c r="D8" s="31" t="str">
        <f>ORÇAMENTO!C25</f>
        <v>m²</v>
      </c>
      <c r="E8" s="30">
        <f>ORÇAMENTO!Y25</f>
        <v>0</v>
      </c>
      <c r="F8" s="27">
        <f t="shared" si="0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7">
        <f t="shared" si="1"/>
        <v>0</v>
      </c>
      <c r="O8" s="27">
        <f t="shared" si="1"/>
        <v>0</v>
      </c>
      <c r="P8" s="27">
        <f t="shared" si="1"/>
        <v>0</v>
      </c>
      <c r="Q8" s="27">
        <f>ROUND($E8/12,2)+0.03</f>
        <v>0.03</v>
      </c>
      <c r="R8" s="15">
        <f t="shared" si="2"/>
        <v>0.03</v>
      </c>
      <c r="S8" s="16">
        <f t="shared" si="3"/>
        <v>-0.03</v>
      </c>
    </row>
    <row r="9" spans="1:19" x14ac:dyDescent="0.2">
      <c r="A9" s="20">
        <f>ORÇAMENTO!A26</f>
        <v>57510</v>
      </c>
      <c r="B9" s="21" t="str">
        <f>ORÇAMENTO!B26</f>
        <v>Contenção Lat. Com solo local (minimo 1,0 m de cada lado)</v>
      </c>
      <c r="C9" s="32">
        <f>ORÇAMENTO!E26</f>
        <v>757.46</v>
      </c>
      <c r="D9" s="31" t="str">
        <f>ORÇAMENTO!C26</f>
        <v>m²</v>
      </c>
      <c r="E9" s="30">
        <f>ORÇAMENTO!Y26</f>
        <v>0</v>
      </c>
      <c r="F9" s="27">
        <f t="shared" si="0"/>
        <v>0</v>
      </c>
      <c r="G9" s="27">
        <f t="shared" si="0"/>
        <v>0</v>
      </c>
      <c r="H9" s="27">
        <f t="shared" si="0"/>
        <v>0</v>
      </c>
      <c r="I9" s="27">
        <f t="shared" si="0"/>
        <v>0</v>
      </c>
      <c r="J9" s="27">
        <f t="shared" si="0"/>
        <v>0</v>
      </c>
      <c r="K9" s="27">
        <f t="shared" si="0"/>
        <v>0</v>
      </c>
      <c r="L9" s="27">
        <f t="shared" si="0"/>
        <v>0</v>
      </c>
      <c r="M9" s="27">
        <f t="shared" si="0"/>
        <v>0</v>
      </c>
      <c r="N9" s="27">
        <f t="shared" si="0"/>
        <v>0</v>
      </c>
      <c r="O9" s="27">
        <f t="shared" si="0"/>
        <v>0</v>
      </c>
      <c r="P9" s="27">
        <f t="shared" si="0"/>
        <v>0</v>
      </c>
      <c r="Q9" s="27">
        <f>ROUND($E9/12,2)-0.02</f>
        <v>-0.02</v>
      </c>
      <c r="R9" s="15">
        <f t="shared" si="2"/>
        <v>-0.02</v>
      </c>
      <c r="S9" s="58">
        <f t="shared" si="3"/>
        <v>0.02</v>
      </c>
    </row>
    <row r="10" spans="1:19" ht="13.5" thickBot="1" x14ac:dyDescent="0.25">
      <c r="A10" s="22"/>
      <c r="B10" s="23"/>
      <c r="C10" s="24"/>
      <c r="D10" s="25"/>
      <c r="E10" s="26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15">
        <f t="shared" si="2"/>
        <v>0</v>
      </c>
      <c r="S10" s="16">
        <f t="shared" si="3"/>
        <v>0</v>
      </c>
    </row>
    <row r="11" spans="1:19" x14ac:dyDescent="0.2">
      <c r="A11" s="41"/>
      <c r="B11" s="42"/>
      <c r="C11" s="43"/>
      <c r="D11" s="43"/>
      <c r="E11" s="43"/>
      <c r="F11" s="44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15">
        <f t="shared" si="2"/>
        <v>0</v>
      </c>
      <c r="S11" s="16">
        <f t="shared" si="3"/>
        <v>0</v>
      </c>
    </row>
    <row r="12" spans="1:19" x14ac:dyDescent="0.2">
      <c r="A12" s="45"/>
      <c r="B12" s="46" t="s">
        <v>22</v>
      </c>
      <c r="C12" s="47"/>
      <c r="D12" s="47"/>
      <c r="E12" s="48">
        <f t="shared" ref="E12:Q12" si="4">SUM(E5:E9)</f>
        <v>0</v>
      </c>
      <c r="F12" s="56">
        <f t="shared" si="4"/>
        <v>0</v>
      </c>
      <c r="G12" s="56">
        <f t="shared" si="4"/>
        <v>0</v>
      </c>
      <c r="H12" s="56">
        <f t="shared" si="4"/>
        <v>0</v>
      </c>
      <c r="I12" s="56">
        <f t="shared" si="4"/>
        <v>0</v>
      </c>
      <c r="J12" s="56">
        <f t="shared" si="4"/>
        <v>0</v>
      </c>
      <c r="K12" s="56">
        <f t="shared" si="4"/>
        <v>0</v>
      </c>
      <c r="L12" s="56">
        <f t="shared" si="4"/>
        <v>0</v>
      </c>
      <c r="M12" s="56">
        <f t="shared" si="4"/>
        <v>0</v>
      </c>
      <c r="N12" s="56">
        <f t="shared" si="4"/>
        <v>0</v>
      </c>
      <c r="O12" s="56">
        <f t="shared" si="4"/>
        <v>0</v>
      </c>
      <c r="P12" s="56">
        <f t="shared" si="4"/>
        <v>0</v>
      </c>
      <c r="Q12" s="56">
        <f t="shared" si="4"/>
        <v>0.09</v>
      </c>
      <c r="R12" s="15">
        <f t="shared" si="2"/>
        <v>0.09</v>
      </c>
      <c r="S12" s="16">
        <f t="shared" si="3"/>
        <v>-0.09</v>
      </c>
    </row>
    <row r="13" spans="1:19" x14ac:dyDescent="0.2">
      <c r="A13" s="49"/>
      <c r="B13" s="50" t="s">
        <v>31</v>
      </c>
      <c r="C13" s="51"/>
      <c r="D13" s="51"/>
      <c r="E13" s="52"/>
      <c r="F13" s="53" t="e">
        <f>F12/$E$12</f>
        <v>#DIV/0!</v>
      </c>
      <c r="G13" s="53" t="e">
        <f t="shared" ref="G13:Q13" si="5">G12/$E$12</f>
        <v>#DIV/0!</v>
      </c>
      <c r="H13" s="53" t="e">
        <f t="shared" si="5"/>
        <v>#DIV/0!</v>
      </c>
      <c r="I13" s="53" t="e">
        <f t="shared" si="5"/>
        <v>#DIV/0!</v>
      </c>
      <c r="J13" s="53" t="e">
        <f t="shared" si="5"/>
        <v>#DIV/0!</v>
      </c>
      <c r="K13" s="53" t="e">
        <f t="shared" si="5"/>
        <v>#DIV/0!</v>
      </c>
      <c r="L13" s="53" t="e">
        <f t="shared" si="5"/>
        <v>#DIV/0!</v>
      </c>
      <c r="M13" s="53" t="e">
        <f t="shared" si="5"/>
        <v>#DIV/0!</v>
      </c>
      <c r="N13" s="53" t="e">
        <f t="shared" si="5"/>
        <v>#DIV/0!</v>
      </c>
      <c r="O13" s="53" t="e">
        <f t="shared" si="5"/>
        <v>#DIV/0!</v>
      </c>
      <c r="P13" s="53" t="e">
        <f t="shared" si="5"/>
        <v>#DIV/0!</v>
      </c>
      <c r="Q13" s="53" t="e">
        <f t="shared" si="5"/>
        <v>#DIV/0!</v>
      </c>
      <c r="R13" s="17"/>
      <c r="S13" s="16"/>
    </row>
    <row r="14" spans="1:19" x14ac:dyDescent="0.2">
      <c r="A14" s="34"/>
      <c r="B14" s="35" t="s">
        <v>23</v>
      </c>
      <c r="C14" s="28"/>
      <c r="D14" s="28"/>
      <c r="E14" s="36"/>
      <c r="F14" s="57">
        <f>F12</f>
        <v>0</v>
      </c>
      <c r="G14" s="36">
        <f>F14+G12</f>
        <v>0</v>
      </c>
      <c r="H14" s="36">
        <f t="shared" ref="H14:M14" si="6">G14+H12</f>
        <v>0</v>
      </c>
      <c r="I14" s="36">
        <f t="shared" si="6"/>
        <v>0</v>
      </c>
      <c r="J14" s="36">
        <f t="shared" si="6"/>
        <v>0</v>
      </c>
      <c r="K14" s="36">
        <f t="shared" si="6"/>
        <v>0</v>
      </c>
      <c r="L14" s="36">
        <f t="shared" si="6"/>
        <v>0</v>
      </c>
      <c r="M14" s="36">
        <f t="shared" si="6"/>
        <v>0</v>
      </c>
      <c r="N14" s="36">
        <f t="shared" ref="N14" si="7">M14+N12</f>
        <v>0</v>
      </c>
      <c r="O14" s="36">
        <f t="shared" ref="O14" si="8">N14+O12</f>
        <v>0</v>
      </c>
      <c r="P14" s="36">
        <f t="shared" ref="P14" si="9">O14+P12</f>
        <v>0</v>
      </c>
      <c r="Q14" s="36">
        <f>P14+Q12</f>
        <v>0.09</v>
      </c>
      <c r="R14" s="17"/>
      <c r="S14" s="16"/>
    </row>
    <row r="15" spans="1:19" ht="13.5" thickBot="1" x14ac:dyDescent="0.25">
      <c r="A15" s="37"/>
      <c r="B15" s="38" t="s">
        <v>32</v>
      </c>
      <c r="C15" s="39"/>
      <c r="D15" s="39"/>
      <c r="E15" s="39"/>
      <c r="F15" s="40" t="e">
        <f>F14/$E$12</f>
        <v>#DIV/0!</v>
      </c>
      <c r="G15" s="40" t="e">
        <f t="shared" ref="G15:Q15" si="10">G14/$E$12</f>
        <v>#DIV/0!</v>
      </c>
      <c r="H15" s="40" t="e">
        <f t="shared" si="10"/>
        <v>#DIV/0!</v>
      </c>
      <c r="I15" s="40" t="e">
        <f t="shared" si="10"/>
        <v>#DIV/0!</v>
      </c>
      <c r="J15" s="40" t="e">
        <f t="shared" si="10"/>
        <v>#DIV/0!</v>
      </c>
      <c r="K15" s="40" t="e">
        <f t="shared" si="10"/>
        <v>#DIV/0!</v>
      </c>
      <c r="L15" s="40" t="e">
        <f t="shared" si="10"/>
        <v>#DIV/0!</v>
      </c>
      <c r="M15" s="40" t="e">
        <f t="shared" si="10"/>
        <v>#DIV/0!</v>
      </c>
      <c r="N15" s="40" t="e">
        <f t="shared" si="10"/>
        <v>#DIV/0!</v>
      </c>
      <c r="O15" s="40" t="e">
        <f t="shared" si="10"/>
        <v>#DIV/0!</v>
      </c>
      <c r="P15" s="40" t="e">
        <f t="shared" si="10"/>
        <v>#DIV/0!</v>
      </c>
      <c r="Q15" s="40" t="e">
        <f t="shared" si="10"/>
        <v>#DIV/0!</v>
      </c>
      <c r="R15" s="14"/>
    </row>
    <row r="17" spans="1:19" x14ac:dyDescent="0.2">
      <c r="S17" s="16"/>
    </row>
    <row r="18" spans="1:19" customFormat="1" ht="30.75" customHeight="1" x14ac:dyDescent="0.25">
      <c r="B18" s="9"/>
    </row>
    <row r="19" spans="1:19" customFormat="1" ht="15" x14ac:dyDescent="0.25">
      <c r="B19" s="11" t="s">
        <v>11</v>
      </c>
      <c r="E19" s="10">
        <f ca="1">TODAY()</f>
        <v>45618</v>
      </c>
      <c r="H19" s="10"/>
    </row>
    <row r="20" spans="1:19" customFormat="1" ht="15" x14ac:dyDescent="0.25"/>
    <row r="21" spans="1:19" x14ac:dyDescent="0.2">
      <c r="A21" s="13"/>
      <c r="B21" s="13"/>
      <c r="E21" s="18"/>
    </row>
    <row r="24" spans="1:19" x14ac:dyDescent="0.2">
      <c r="B24" s="13"/>
    </row>
    <row r="25" spans="1:19" x14ac:dyDescent="0.2"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</sheetData>
  <mergeCells count="2">
    <mergeCell ref="A2:E2"/>
    <mergeCell ref="A1:E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fitToWidth="2" orientation="landscape" r:id="rId1"/>
  <colBreaks count="1" manualBreakCount="1">
    <brk id="11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</vt:lpstr>
      <vt:lpstr>CRONOGRAMA</vt:lpstr>
      <vt:lpstr>CRONOGRAMA!Area_de_impressao</vt:lpstr>
      <vt:lpstr>ORÇAMENTO!Area_de_impressao</vt:lpstr>
      <vt:lpstr>CRONOGRAMA!Titulos_de_impressao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Engenharia</cp:lastModifiedBy>
  <cp:lastPrinted>2024-11-22T18:19:33Z</cp:lastPrinted>
  <dcterms:created xsi:type="dcterms:W3CDTF">2015-06-05T18:19:34Z</dcterms:created>
  <dcterms:modified xsi:type="dcterms:W3CDTF">2024-11-22T18:21:11Z</dcterms:modified>
</cp:coreProperties>
</file>